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9.xml.rels" ContentType="application/vnd.openxmlformats-package.relationships+xml"/>
  <Override PartName="/xl/worksheets/_rels/sheet8.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7.xml.rels" ContentType="application/vnd.openxmlformats-package.relationships+xml"/>
  <Override PartName="/xl/drawings/_rels/drawing6.xml.rels" ContentType="application/vnd.openxmlformats-package.relationships+xml"/>
  <Override PartName="/xl/drawings/_rels/drawing5.xml.rels" ContentType="application/vnd.openxmlformats-package.relationships+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ources" sheetId="1" state="visible" r:id="rId3"/>
    <sheet name="Census DC Put in Place" sheetId="2" state="visible" r:id="rId4"/>
    <sheet name="Hyperscaler Capex" sheetId="3" state="visible" r:id="rId5"/>
    <sheet name="Const Cost vs Total Capex" sheetId="4" state="visible" r:id="rId6"/>
    <sheet name="AI Campus Cost Build-Up" sheetId="5" state="visible" r:id="rId7"/>
    <sheet name="Put in Place vs Capex" sheetId="6" state="visible" r:id="rId8"/>
    <sheet name="US Share of Assets" sheetId="7" state="visible" r:id="rId9"/>
    <sheet name="Server Imports HS 8471" sheetId="8" state="visible" r:id="rId10"/>
    <sheet name="Scale Context" sheetId="9" state="visible" r:id="rId11"/>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<sst xmlns="http://schemas.openxmlformats.org/spreadsheetml/2006/main" count="404" uniqueCount="329">
  <si>
    <t xml:space="preserve">Measuring the Data Center Construction Boom: Real Estate, Infrastructure, and IT Components (data-centers-measuring-components.html)</t>
  </si>
  <si>
    <t xml:space="preserve">Tab</t>
  </si>
  <si>
    <t xml:space="preserve">Series / Metric</t>
  </si>
  <si>
    <t xml:space="preserve">Source Organization</t>
  </si>
  <si>
    <t xml:space="preserve">Source Type</t>
  </si>
  <si>
    <t xml:space="preserve">URL</t>
  </si>
  <si>
    <t xml:space="preserve">Update Cadence</t>
  </si>
  <si>
    <t xml:space="preserve">Last Verified</t>
  </si>
  <si>
    <t xml:space="preserve">Page(s)</t>
  </si>
  <si>
    <t xml:space="preserve">Notes / gotchas</t>
  </si>
  <si>
    <t xml:space="preserve">Census DC Put in Place</t>
  </si>
  <si>
    <t xml:space="preserve">Value of private construction put in place, Data center (sub-type of Office), SA annual rate and NSA monthly, Jan 2014 to Jul 2026p</t>
  </si>
  <si>
    <t xml:space="preserve">U.S. Census Bureau</t>
  </si>
  <si>
    <t xml:space="preserve">Primary (govt data)</t>
  </si>
  <si>
    <t xml:space="preserve">https://www.census.gov/construction/c30/historical_data.html</t>
  </si>
  <si>
    <t xml:space="preserve">Monthly, first business day, two-month lag</t>
  </si>
  <si>
    <t xml:space="preserve">2026-09-03</t>
  </si>
  <si>
    <t xml:space="preserve">data-centers-measuring-components.html</t>
  </si>
  <si>
    <t xml:space="preserve">privsatime.xlsx and privtime.xlsx (Sept 1 2026 release). Data center is a sub-category of Office; backfilled to 2014, broken out mid-2024. Latest month preliminary (p), prior two revised (r). On-site construction only: no IT hardware, no land.</t>
  </si>
  <si>
    <t xml:space="preserve">Hyperscaler Capex</t>
  </si>
  <si>
    <t xml:space="preserve">Q2 2026 capex, operating cash flow, free cash flow; 2026 capex guidance</t>
  </si>
  <si>
    <t xml:space="preserve">Alphabet, Amazon, Meta, Microsoft (earnings releases, 10-Q, earnings calls)</t>
  </si>
  <si>
    <t xml:space="preserve">Primary (company filings)</t>
  </si>
  <si>
    <t xml:space="preserve">https://abc.xyz/investor/ ; https://ir.aboutamazon.com/ ; https://investor.atmeta.com/ ; https://www.microsoft.com/en-us/investor</t>
  </si>
  <si>
    <t xml:space="preserve">Quarterly</t>
  </si>
  <si>
    <t xml:space="preserve">Bases differ: Meta and Microsoft include finance leases; Amazon quotes cash capex; Alphabet purchases of PP&amp;E. Alphabet Q2 guidance quote from a third-party transcript pending check against IR webcast. Microsoft CY2026 ~$175B is after its finance-to-operating lease reclassification.</t>
  </si>
  <si>
    <t xml:space="preserve">Const Cost vs Total Capex</t>
  </si>
  <si>
    <t xml:space="preserve">U.S. data center construction starts, Jan-Jul 2026 $84.1B (136 projects); full-year 2025 $29.2B; avg cost $818/SF (+57%)</t>
  </si>
  <si>
    <t xml:space="preserve">ConstructConnect</t>
  </si>
  <si>
    <t xml:space="preserve">Primary (industry body)</t>
  </si>
  <si>
    <t xml:space="preserve">https://news.constructconnect.com/september-2026-data-center-report-year-to-date-spending-nearly-three-times-a-year-ago</t>
  </si>
  <si>
    <t xml:space="preserve">Monthly</t>
  </si>
  <si>
    <t xml:space="preserve">Approved as source of record 2026-09-03. Starts are project value at groundbreaking, counted in full in the start month.</t>
  </si>
  <si>
    <t xml:space="preserve">AI Campus Cost Build-Up</t>
  </si>
  <si>
    <t xml:space="preserve">AI data center investment split: 15% builders (land, materials, site), 25% energizers (power, cooling, electrical), 60% technology (chips, hardware)</t>
  </si>
  <si>
    <t xml:space="preserve">McKinsey &amp; Company, The Cost of Compute (Apr 2025)</t>
  </si>
  <si>
    <t xml:space="preserve">Primary (research paper)</t>
  </si>
  <si>
    <t xml:space="preserve">https://www.mckinsey.com/industries/technology-media-and-telecommunications/our-insights/the-cost-of-compute-a-7-trillion-dollar-race-to-scale-data-centers</t>
  </si>
  <si>
    <t xml:space="preserve">Irregular</t>
  </si>
  <si>
    <t xml:space="preserve">PDF in folder, p.6. Global shares applied to a representative 1 GW U.S. campus.</t>
  </si>
  <si>
    <t xml:space="preserve">All-in greenfield development cost $8.9M to $23.3M per MW excluding chips and GPUs; greenfield cost mix (power 21%, core &amp; shell 17%, contingency 16%, cooling 12%, OFCI 8%, IT/network 7%, land 7%, other 6%, design 3%, escalation 3%)</t>
  </si>
  <si>
    <t xml:space="preserve">Cushman &amp; Wakefield</t>
  </si>
  <si>
    <t xml:space="preserve">Primary (brokerage research)</t>
  </si>
  <si>
    <t xml:space="preserve">https://www.cushmanwakefield.com/en/united-states/insights/data-center-development-cost-guide</t>
  </si>
  <si>
    <t xml:space="preserve">Annual</t>
  </si>
  <si>
    <t xml:space="preserve">Data Center Construction Cost Guide 2026.pdf pp.25-26. Tenant costs (OFCI + IT/network, 15%) exclude chips and GPUs.</t>
  </si>
  <si>
    <t xml:space="preserve">Put in Place vs Capex</t>
  </si>
  <si>
    <t xml:space="preserve">Annual purchases of property and equipment 2020-2025 (Alphabet, Amazon, Meta incl. finance lease principal) and additions to PP&amp;E FY2021-FY2026 (Microsoft)</t>
  </si>
  <si>
    <t xml:space="preserve">Alphabet, Amazon, Meta 10-K FY2022 and FY2025; Microsoft 10-K FY2022, FY2023, FY2026</t>
  </si>
  <si>
    <t xml:space="preserve">GOOG-10-K-2025.pdf, AMZ 10K 2025.pdf, Meta 10K 2025.pdf, MSFT_FY26Q4_10K.docx (cash flow statements). Microsoft FY assigned to the calendar year it begins. 2020-2022 from goog-10-k-q4-2022.pdf, amz 10k 2022.pdf, meta 10k 2022.pdf, msct 10k 2022.pdf, msft 10k 2023.pdf.</t>
  </si>
  <si>
    <t xml:space="preserve">US Share of Assets</t>
  </si>
  <si>
    <t xml:space="preserve">Long-lived assets by geographic area</t>
  </si>
  <si>
    <t xml:space="preserve">Alphabet (10-K FY2025), Microsoft (10-K FY2026), Meta (10-K FY2025), Amazon (not disclosed)</t>
  </si>
  <si>
    <t xml:space="preserve">https://abc.xyz/investor/ ; https://www.microsoft.com/en-us/investor ; https://investor.atmeta.com/</t>
  </si>
  <si>
    <t xml:space="preserve">Stock measure; use the U.S. share of the year's increase as the capex-location proxy. Amazon discloses PP&amp;E by segment only.</t>
  </si>
  <si>
    <t xml:space="preserve">Server Imports HS 8471</t>
  </si>
  <si>
    <t xml:space="preserve">U.S. general imports of HS 8471 (computers and servers) by country, monthly Jan 2023 to Jun 2026</t>
  </si>
  <si>
    <t xml:space="preserve">U.S. Census Bureau, International Trade API</t>
  </si>
  <si>
    <t xml:space="preserve">https://api.census.gov/data/timeseries/intltrade/imports/hs</t>
  </si>
  <si>
    <t xml:space="preserve">Monthly, ~5 weeks after month end</t>
  </si>
  <si>
    <t xml:space="preserve">census-imports-hs8471-2023-2026.json in folder (API response saved Sept 3, 2026). General imports, customs value. Refresh by re-running the same API URL with a later end month.</t>
  </si>
  <si>
    <t xml:space="preserve">Scale Context</t>
  </si>
  <si>
    <t xml:space="preserve">Total construction put in place by type, all sectors (private + public): NSA Jan-Jul 2026 and 2025 (Table 2; total $1,244.6B vs $1,289.7B) and July SAAR (Table 1; total $2,157.6B vs $2,242.6B)</t>
  </si>
  <si>
    <t xml:space="preserve">https://www.census.gov/construction/c30/current/index.html</t>
  </si>
  <si>
    <t xml:space="preserve">2026-09-05</t>
  </si>
  <si>
    <t xml:space="preserve">MONTHLY CONSTRUCTION SPENDING, JULY 2026.pdf (Sept 1, 2026 release), Tables 1 and 2. Page uses Jan-Jul NSA x 12/7 (pro rata annualization) for all 2026 construction figures; SAAR kept in the tab for reference. Pro rata understates the full year slightly because Jan-Mar are seasonally light months.</t>
  </si>
  <si>
    <t xml:space="preserve">U.S. business income $7.2T (corporate profits after tax without IVA and CCAdj $3,917.2B plus proprietors' and rental income), Q1 2026 SAAR; nominal GDP $31,850B (Z.1 Q1 2026 basis); U.S. net wealth $166.7T (Z.1 Table B.1, Q1 2026)</t>
  </si>
  <si>
    <t xml:space="preserve">BEA NIPA; Federal Reserve Z.1 (as compiled on the CRE42 U.S. National Balance Sheet page)</t>
  </si>
  <si>
    <t xml:space="preserve">https://fred.stlouisfed.org/series/CP ; https://www.federalreserve.gov/releases/z1/</t>
  </si>
  <si>
    <t xml:space="preserve">Figures taken as published on inflation-debt-balance-sheet.html and its workbook (federal-debt-in-context) so the two pages agree; refresh both together. Net wealth is a stock, all other figures are annual flows.</t>
  </si>
  <si>
    <t xml:space="preserve">Construction is roughly 20% of total data center development cost</t>
  </si>
  <si>
    <t xml:space="preserve">Axios (reporting Census release)</t>
  </si>
  <si>
    <t xml:space="preserve">Press/News (context only)</t>
  </si>
  <si>
    <t xml:space="preserve">https://www.axios.com/2026/09/01/ai-data-center-constructon-spending</t>
  </si>
  <si>
    <t xml:space="preserve">n/a</t>
  </si>
  <si>
    <t xml:space="preserve">Secondary; cited only for the share, alongside Alphabet CFO (about 60% of Q2 capex servers) and Microsoft (about two-thirds short-lived assets) from the filings.</t>
  </si>
  <si>
    <t xml:space="preserve">Value of Private Construction Put in Place: Data center ($ millions). Source: U.S. Census Bureau, C30, July 2026 release (Sept 1, 2026).</t>
  </si>
  <si>
    <t xml:space="preserve">Month</t>
  </si>
  <si>
    <t xml:space="preserve">Year</t>
  </si>
  <si>
    <t xml:space="preserve">Data center, SA annual rate ($M)</t>
  </si>
  <si>
    <t xml:space="preserve">Data center, NSA monthly ($M)</t>
  </si>
  <si>
    <t xml:space="preserve">Office incl. data center, SA annual rate ($M)</t>
  </si>
  <si>
    <t xml:space="preserve">Data center share of Office</t>
  </si>
  <si>
    <t xml:space="preserve">Private nonresidential, SA annual rate ($M)</t>
  </si>
  <si>
    <t xml:space="preserve">Data center share of nonresidential</t>
  </si>
  <si>
    <t xml:space="preserve">Jul-26 preliminary; May-26 and Jun-26 revised in source.</t>
  </si>
  <si>
    <t xml:space="preserve">Annual totals, NSA ($M)</t>
  </si>
  <si>
    <t xml:space="preserve">Data center, NSA total ($M)</t>
  </si>
  <si>
    <t xml:space="preserve">YoY change</t>
  </si>
  <si>
    <t xml:space="preserve">Jan-Jul NSA total ($M)</t>
  </si>
  <si>
    <t xml:space="preserve">Jan-Jul YoY change</t>
  </si>
  <si>
    <t xml:space="preserve">2026 is Jan-Jul only. Cumulative 2022 through Jul 2026 ($M):</t>
  </si>
  <si>
    <t xml:space="preserve">Cumulative 2022 through 2024 ($M):</t>
  </si>
  <si>
    <t xml:space="preserve">Hyperscaler capital expenditure, Q2 2026 reporting round ($ billions). Sources: earnings releases, 10-Q and call transcripts.</t>
  </si>
  <si>
    <t xml:space="preserve">Company</t>
  </si>
  <si>
    <t xml:space="preserve">Period</t>
  </si>
  <si>
    <t xml:space="preserve">Quarter capex ($B)</t>
  </si>
  <si>
    <t xml:space="preserve">Capex basis</t>
  </si>
  <si>
    <t xml:space="preserve">Quarter operating cash flow ($B)</t>
  </si>
  <si>
    <t xml:space="preserve">Quarter free cash flow ($B)</t>
  </si>
  <si>
    <t xml:space="preserve">2026 guidance low ($B)</t>
  </si>
  <si>
    <t xml:space="preserve">2026 guidance high ($B)</t>
  </si>
  <si>
    <t xml:space="preserve">Prior guidance</t>
  </si>
  <si>
    <t xml:space="preserve">Note</t>
  </si>
  <si>
    <t xml:space="preserve">Source document</t>
  </si>
  <si>
    <t xml:space="preserve">Alphabet</t>
  </si>
  <si>
    <t xml:space="preserve">Q2 2026</t>
  </si>
  <si>
    <t xml:space="preserve">Purchases of property and equipment</t>
  </si>
  <si>
    <t xml:space="preserve">$180-190B</t>
  </si>
  <si>
    <t xml:space="preserve">Raised Jul 2026 for accelerated capacity delivery; CFO: ~60% servers, ~40% data centers and networking</t>
  </si>
  <si>
    <t xml:space="preserve">2026q2-alphabet-earnings-release.pdf; Q2 call</t>
  </si>
  <si>
    <t xml:space="preserve">Amazon</t>
  </si>
  <si>
    <t xml:space="preserve">Purchases of PP&amp;E (gross); cash capex net of incentives $53.1B</t>
  </si>
  <si>
    <t xml:space="preserve">~$200B</t>
  </si>
  <si>
    <t xml:space="preserve">Cash capex; raised Jul 30 2026 citing memory costs; TTM free cash flow -$7.6B</t>
  </si>
  <si>
    <t xml:space="preserve">AMZ earnings release.pdf; AMZ Transcript.docx</t>
  </si>
  <si>
    <t xml:space="preserve">Meta</t>
  </si>
  <si>
    <t xml:space="preserve">Capex incl. principal payments on finance leases</t>
  </si>
  <si>
    <t xml:space="preserve">$125-145B</t>
  </si>
  <si>
    <t xml:space="preserve">Narrowed upward Jul 2026</t>
  </si>
  <si>
    <t xml:space="preserve">Meta-06-30-2026-Exhibit-99-1-FINAL.pdf</t>
  </si>
  <si>
    <t xml:space="preserve">Microsoft</t>
  </si>
  <si>
    <t xml:space="preserve">Q4 FY2026 (Apr-Jun 2026)</t>
  </si>
  <si>
    <t xml:space="preserve">Capex incl. finance leases ($5.6B); cash paid for PP&amp;E $35.8B</t>
  </si>
  <si>
    <t xml:space="preserve">CY2026 ~$175B after finance-to-operating lease shift; ~2/3 of quarter capex short-lived assets (CPUs, GPUs)</t>
  </si>
  <si>
    <t xml:space="preserve">TranscriptFY26Q4.docx; FinancialStatementFY26Q4.xlsx</t>
  </si>
  <si>
    <t xml:space="preserve">Four-company 2026 guidance</t>
  </si>
  <si>
    <t xml:space="preserve">Midpoint</t>
  </si>
  <si>
    <t xml:space="preserve">Bases differ (finance leases in or out; gross vs net of incentives). Quote the total as roughly $720-745 billion and state the basis.</t>
  </si>
  <si>
    <t xml:space="preserve">Hyperscaler total capex vs. data center structure spending: budgeted, started, built ($ billions; started and built are January to July 2026 x 12/7)</t>
  </si>
  <si>
    <t xml:space="preserve">Measure</t>
  </si>
  <si>
    <t xml:space="preserve">Value ($B)</t>
  </si>
  <si>
    <t xml:space="preserve">What it counts</t>
  </si>
  <si>
    <t xml:space="preserve">Geography</t>
  </si>
  <si>
    <t xml:space="preserve">Timing</t>
  </si>
  <si>
    <t xml:space="preserve">Source</t>
  </si>
  <si>
    <t xml:space="preserve">Budgeted: hyperscaler 2026 capex guidance, 4 companies, midpoint</t>
  </si>
  <si>
    <t xml:space="preserve">Servers, chips, networking, buildings, land, leases, capitalized software</t>
  </si>
  <si>
    <t xml:space="preserve">Global</t>
  </si>
  <si>
    <t xml:space="preserve">Calendar 2026, booked when paid</t>
  </si>
  <si>
    <t xml:space="preserve">Company earnings calls, Jul 2026</t>
  </si>
  <si>
    <t xml:space="preserve">Started: U.S. data center construction starts, Jan-Jul 2026 annualized</t>
  </si>
  <si>
    <t xml:space="preserve">Project value at groundbreaking; $84.1B Jan-Jul 2026 x 12/7</t>
  </si>
  <si>
    <t xml:space="preserve">U.S.</t>
  </si>
  <si>
    <t xml:space="preserve">Counted in full in start month; annualized pro rata</t>
  </si>
  <si>
    <t xml:space="preserve">Built: construction put in place, Jan-Jul 2026 annualized</t>
  </si>
  <si>
    <t xml:space="preserve">On-site building construction: shell, structure, mechanical and electrical; no IT hardware, no land; $37.2B Jan-Jul 2026 NSA x 12/7 (July SAAR $75.2B)</t>
  </si>
  <si>
    <t xml:space="preserve">Work completed each month; annualized pro rata</t>
  </si>
  <si>
    <t xml:space="preserve">Cost distribution for a representative 1 GW AI data center ($ billions, rounded). Building side: Cushman &amp; Wakefield 2026 greenfield cost mix applied to the upper end of its all-in range ($23.3M per MW, AI-class), rounded to $20B per GW. IT hardware layer (excluded by C&amp;W): 60% of total per McKinsey and hyperscaler statements.</t>
  </si>
  <si>
    <t xml:space="preserve">Representative, not actual: no single campus reports this breakdown. Each layer is tagged to the statistic that captures it.</t>
  </si>
  <si>
    <t xml:space="preserve">Layer</t>
  </si>
  <si>
    <t xml:space="preserve">C&amp;W greenfield share of all-in cost ex chips</t>
  </si>
  <si>
    <t xml:space="preserve">$B per GW</t>
  </si>
  <si>
    <t xml:space="preserve">Share of total incl. IT hardware</t>
  </si>
  <si>
    <t xml:space="preserve">What is in it (C&amp;W categories)</t>
  </si>
  <si>
    <t xml:space="preserve">Which statistic captures it</t>
  </si>
  <si>
    <t xml:space="preserve">Land and site acquisition</t>
  </si>
  <si>
    <t xml:space="preserve">Land &amp; site acquisition</t>
  </si>
  <si>
    <t xml:space="preserve">Company capex only (land is not construction put in place)</t>
  </si>
  <si>
    <t xml:space="preserve">C&amp;W 2026 p.25</t>
  </si>
  <si>
    <t xml:space="preserve">Core, shell and sitework</t>
  </si>
  <si>
    <t xml:space="preserve">Construction (core &amp; shell / sitework)</t>
  </si>
  <si>
    <t xml:space="preserve">Census construction put in place</t>
  </si>
  <si>
    <t xml:space="preserve">Power infrastructure</t>
  </si>
  <si>
    <t xml:space="preserve">Utility substation, transformers, switchgear, UPS, generator plants, batteries</t>
  </si>
  <si>
    <t xml:space="preserve">Census construction put in place (on-site); utility-side work in Census power category</t>
  </si>
  <si>
    <t xml:space="preserve">Cooling infrastructure</t>
  </si>
  <si>
    <t xml:space="preserve">Chillers, CRAH/CRAC, liquid cooling loops</t>
  </si>
  <si>
    <t xml:space="preserve">Tenant fit-out: OFCI items and IT/network infrastructure</t>
  </si>
  <si>
    <t xml:space="preserve">Owner-furnished contractor-installed items (8%); racks, cabling, network gear (7%); excludes chips and GPUs</t>
  </si>
  <si>
    <t xml:space="preserve">Partly in construction put in place (installed items); partly company capex</t>
  </si>
  <si>
    <t xml:space="preserve">Soft costs: design, escalation, contingency, other</t>
  </si>
  <si>
    <t xml:space="preserve">Design &amp; engineering 3%; escalation 3%; contingency 16%; other 6%</t>
  </si>
  <si>
    <t xml:space="preserve">Spread across the above as spent</t>
  </si>
  <si>
    <t xml:space="preserve">Subtotal: building side, excluding chips and GPUs</t>
  </si>
  <si>
    <t xml:space="preserve">C&amp;W all-in development cost, upper range</t>
  </si>
  <si>
    <t xml:space="preserve">C&amp;W 2026 p.26: $8.9M to $23.3M per MW</t>
  </si>
  <si>
    <t xml:space="preserve">IT hardware: GPUs and accelerators, servers, memory, storage, networking</t>
  </si>
  <si>
    <t xml:space="preserve">Not in the C&amp;W figure; the chips and servers that occupy the building</t>
  </si>
  <si>
    <t xml:space="preserve">Company capex; U.S. imports HS 8471</t>
  </si>
  <si>
    <t xml:space="preserve">McKinsey Cost of Compute (60% technology); Alphabet Q2 2026 call (~60% servers); Microsoft FY26 Q4 call (~2/3 short-lived assets)</t>
  </si>
  <si>
    <t xml:space="preserve">Total, all-in</t>
  </si>
  <si>
    <t xml:space="preserve">How the IT hardware layer is sized: if the building side is $20B per GW and hardware is 60% of the all-in total (McKinsey; Alphabet), the total is $20B / 0.4 = $50B and hardware is $30B. Microsoft's two-thirds would imply $40B of hardware and a $60B total. Physical cross-check: 1 GW of IT load supports roughly 700,000 to 800,000 accelerators at 1.2 to 1.4 kW each all-in; at $30,000 to $40,000 per accelerator that is $21B to $32B in chips before servers, memory and networking. NVIDIA's public range for a fully loaded AI factory is $60B to $80B per GW; Epoch AI/Asterisk's 2025 estimate was $10B facility plus $20B chips. The $50B figure sits in the middle.</t>
  </si>
  <si>
    <t xml:space="preserve">Why this differs from C&amp;W's own pie: C&amp;W's denominator is the developer's all-in cost excluding chips and GPUs, where tenant costs are 15%. Adding the chip layer makes the same building categories 40% of a $50B total. Both are right; they answer different questions.</t>
  </si>
  <si>
    <t xml:space="preserve">Chart helper: layer</t>
  </si>
  <si>
    <t xml:space="preserve">Land and site</t>
  </si>
  <si>
    <t xml:space="preserve">Core, shell, sitework</t>
  </si>
  <si>
    <t xml:space="preserve">Cooling</t>
  </si>
  <si>
    <t xml:space="preserve">Tenant fit-out</t>
  </si>
  <si>
    <t xml:space="preserve">Soft costs</t>
  </si>
  <si>
    <t xml:space="preserve">Subtotal: building only</t>
  </si>
  <si>
    <t xml:space="preserve">IT hardware</t>
  </si>
  <si>
    <t xml:space="preserve">U.S. data center construction put in place (Census, NSA annual) vs. hyperscaler capital expenditure, four companies ($ billions). Sources: Census C30; Alphabet, Amazon, Meta 10-K FY2025 cash flow statements; Microsoft 10-K FY2026; Q2 2026 guidance.</t>
  </si>
  <si>
    <t xml:space="preserve">Microsoft fiscal years end June 30 and are assigned to the calendar year in which they begin (FY2024 = Jul 2023 to Jun 2024 shown as 2023). Meta includes principal payments on finance leases. Amazon is gross purchases of property and equipment. 2026 is guidance midpoint for capex and January-July actual annualized for construction. Census counts all U.S. data center construction, not only these four companies; capex is global and includes chips. The overlap is indicative, not an accounting identity.</t>
  </si>
  <si>
    <t xml:space="preserve">Alphabet ($B)</t>
  </si>
  <si>
    <t xml:space="preserve">Amazon ($B)</t>
  </si>
  <si>
    <t xml:space="preserve">Meta ($B)</t>
  </si>
  <si>
    <t xml:space="preserve">Microsoft ($B)</t>
  </si>
  <si>
    <t xml:space="preserve">Four-company capex ($B)</t>
  </si>
  <si>
    <t xml:space="preserve">Census DC put in place, NSA ($B)</t>
  </si>
  <si>
    <t xml:space="preserve">Construction as share of capex</t>
  </si>
  <si>
    <t xml:space="preserve">Capex not captured by construction ($B)</t>
  </si>
  <si>
    <t xml:space="preserve">Microsoft FY2021</t>
  </si>
  <si>
    <t xml:space="preserve">Microsoft FY2022</t>
  </si>
  <si>
    <t xml:space="preserve">Microsoft FY2023</t>
  </si>
  <si>
    <t xml:space="preserve">Microsoft FY2024</t>
  </si>
  <si>
    <t xml:space="preserve">Microsoft FY2025</t>
  </si>
  <si>
    <t xml:space="preserve">Microsoft FY2026</t>
  </si>
  <si>
    <t xml:space="preserve">Guidance midpoints; construction = Jan-Jul actual annualized</t>
  </si>
  <si>
    <t xml:space="preserve">2020-2022 from the FY2022 10-Ks (Alphabet, Amazon, Meta) and Microsoft FY2022 and FY2023 10-Ks.</t>
  </si>
  <si>
    <t xml:space="preserve">Share of hyperscaler long-lived assets located in the United States, from 10-K geographic disclosures ($ millions)</t>
  </si>
  <si>
    <t xml:space="preserve">Fiscal year end</t>
  </si>
  <si>
    <t xml:space="preserve">United States</t>
  </si>
  <si>
    <t xml:space="preserve">Other countries</t>
  </si>
  <si>
    <t xml:space="preserve">Total</t>
  </si>
  <si>
    <t xml:space="preserve">U.S. share</t>
  </si>
  <si>
    <t xml:space="preserve">Prior year U.S.</t>
  </si>
  <si>
    <t xml:space="preserve">Prior year total</t>
  </si>
  <si>
    <t xml:space="preserve">U.S. share of year's increase</t>
  </si>
  <si>
    <t xml:space="preserve">Dec 31, 2025</t>
  </si>
  <si>
    <t xml:space="preserve">Long-lived assets (PP&amp;E net plus operating lease assets)</t>
  </si>
  <si>
    <t xml:space="preserve">GOOG-10-K-2025.pdf, Note 15</t>
  </si>
  <si>
    <t xml:space="preserve">Jun 30, 2026</t>
  </si>
  <si>
    <t xml:space="preserve">Long-lived assets excl. financial instruments and tax assets</t>
  </si>
  <si>
    <t xml:space="preserve">MSFT_FY26Q4_10K.docx, segment note</t>
  </si>
  <si>
    <t xml:space="preserve">Long-lived assets (PP&amp;E net plus operating lease ROU assets)</t>
  </si>
  <si>
    <t xml:space="preserve">Meta 10K 2025.pdf, Note on geographic information</t>
  </si>
  <si>
    <t xml:space="preserve">Not disclosed by geography; PP&amp;E by segment only (AWS $190,055M of $357,025M)</t>
  </si>
  <si>
    <t xml:space="preserve">AMZ 10K 2025.pdf, Note 10</t>
  </si>
  <si>
    <t xml:space="preserve">Long-lived assets are a stock (everything built to date), so the U.S. share of the year's increase is the better proxy for where current capex is landing. Assets are classified by location (Alphabet, Meta) or by the controlling statutory company (Microsoft).</t>
  </si>
  <si>
    <t xml:space="preserve">U.S. general imports of computers and servers (harmonized code 8471) by country of origin, monthly, $ millions</t>
  </si>
  <si>
    <t xml:space="preserve">What this is: the customs value of all goods entering the United States under HS 8471, 'automatic data processing machines and units thereof', which covers servers, PCs, laptops, storage arrays and their units. It is the narrowest customs category that captures AI servers (a rack-mounted GPU server clears customs as an 8471 machine), so the series overstates data center hardware by the consumer-PC share and understates it by excluding GPUs and accelerator boards shipped separately (HS 8473 and 8542) and networking equipment (HS 8517). Country of origin is where the finished server was assembled: servers built in Mexico by Foxconn, Quanta and Wistron use Taiwanese boards and Taiwan-made accelerators. General imports, not consumption imports; customs value excludes freight and duties. Source: U.S. Census Bureau, International Trade API (timeseries/intltrade/imports/hs), retrieved September 3, 2026; file census-imports-hs8471-2023-2026.json.</t>
  </si>
  <si>
    <t xml:space="preserve">Total, all countries ($M)</t>
  </si>
  <si>
    <t xml:space="preserve">Taiwan ($M)</t>
  </si>
  <si>
    <t xml:space="preserve">Mexico ($M)</t>
  </si>
  <si>
    <t xml:space="preserve">China ($M)</t>
  </si>
  <si>
    <t xml:space="preserve">Vietnam ($M)</t>
  </si>
  <si>
    <t xml:space="preserve">Thailand ($M)</t>
  </si>
  <si>
    <t xml:space="preserve">Malaysia ($M)</t>
  </si>
  <si>
    <t xml:space="preserve">All other ($M)</t>
  </si>
  <si>
    <t xml:space="preserve">Taiwan + Mexico share</t>
  </si>
  <si>
    <t xml:space="preserve">Annual totals ($M); 2026 is January to June</t>
  </si>
  <si>
    <t xml:space="preserve">Total ($M)</t>
  </si>
  <si>
    <t xml:space="preserve">Jan-Jun total ($M)</t>
  </si>
  <si>
    <t xml:space="preserve">Jan-Jun YoY</t>
  </si>
  <si>
    <t xml:space="preserve">HS 8471 covers all computers and units (servers, laptops, storage); it is the narrowest customs category that captures AI servers, so it overstates data center hardware by the consumer-PC share and understates it by excluding separately shipped GPUs (HS 8473/8542) and networking gear. Servers assembled in Mexico use Taiwanese-made boards and Nvidia GPUs made in Taiwan.</t>
  </si>
  <si>
    <t xml:space="preserve">Data center construction in context: annualized 2026 figures against U.S. construction, hyperscaler capex, business income, GDP and net wealth ($ billions)</t>
  </si>
  <si>
    <t xml:space="preserve">Reported figure ($B)</t>
  </si>
  <si>
    <t xml:space="preserve">Basis / period</t>
  </si>
  <si>
    <t xml:space="preserve">Annualized ($B)</t>
  </si>
  <si>
    <t xml:space="preserve">Data center construction as % of this</t>
  </si>
  <si>
    <t xml:space="preserve">Source / file</t>
  </si>
  <si>
    <t xml:space="preserve">Data center construction put in place (U.S.)</t>
  </si>
  <si>
    <t xml:space="preserve">Jan-Jul 2026, NSA cumulative (Census C30)</t>
  </si>
  <si>
    <t xml:space="preserve">Census DC Put in Place tab; privtime.xlsx</t>
  </si>
  <si>
    <t xml:space="preserve">Hyperscaler capex, 2026 guidance (Alphabet, Amazon, Meta, Microsoft)</t>
  </si>
  <si>
    <t xml:space="preserve">Calendar 2026, midpoint of guidance; global; mostly IT hardware</t>
  </si>
  <si>
    <t xml:space="preserve">Hyperscaler Capex tab; Q2 2026 earnings calls</t>
  </si>
  <si>
    <t xml:space="preserve">All U.S. construction put in place (private + public, all sectors)</t>
  </si>
  <si>
    <t xml:space="preserve">Jan-Jul 2026, NSA cumulative (Census C30 Table 2)</t>
  </si>
  <si>
    <t xml:space="preserve">MONTHLY CONSTRUCTION SPENDING, JULY 2026.pdf</t>
  </si>
  <si>
    <t xml:space="preserve">U.S. business income</t>
  </si>
  <si>
    <t xml:space="preserve">Q1 2026 SAAR: corporate profits after tax ($3,917B) + proprietors' and rental income</t>
  </si>
  <si>
    <t xml:space="preserve">inflation-debt-balance-sheet.html (BEA NIPA)</t>
  </si>
  <si>
    <t xml:space="preserve">U.S. GDP, nominal</t>
  </si>
  <si>
    <t xml:space="preserve">Q1 2026, Z.1 basis</t>
  </si>
  <si>
    <t xml:space="preserve">inflation-debt-balance-sheet.html (Federal Reserve Z.1)</t>
  </si>
  <si>
    <t xml:space="preserve">U.S. net wealth (stock, not a flow)</t>
  </si>
  <si>
    <t xml:space="preserve">Q1 2026, Federal Reserve Z.1 Table B.1</t>
  </si>
  <si>
    <t xml:space="preserve">Reference points from the same Census release (July 2026 SAAR unless noted)</t>
  </si>
  <si>
    <t xml:space="preserve">Jul 2026 ($B)</t>
  </si>
  <si>
    <t xml:space="preserve">Jul 2025 ($B)</t>
  </si>
  <si>
    <t xml:space="preserve">Change</t>
  </si>
  <si>
    <t xml:space="preserve">Data center construction, SAAR</t>
  </si>
  <si>
    <t xml:space="preserve">Current pace is above the Jan-Jul average in D4</t>
  </si>
  <si>
    <t xml:space="preserve">Data center construction, Jan-Jul cumulative NSA</t>
  </si>
  <si>
    <t xml:space="preserve">2026 vs 2025</t>
  </si>
  <si>
    <t xml:space="preserve">All construction, Jan-Jul cumulative NSA</t>
  </si>
  <si>
    <t xml:space="preserve">2026 vs 2025 (Census Table 2)</t>
  </si>
  <si>
    <t xml:space="preserve">All construction, SAAR</t>
  </si>
  <si>
    <t xml:space="preserve">Census Table 1</t>
  </si>
  <si>
    <t xml:space="preserve">All construction excluding data centers, SAAR</t>
  </si>
  <si>
    <t xml:space="preserve">Total less the data center line</t>
  </si>
  <si>
    <t xml:space="preserve">Residential construction, SAAR (private + public)</t>
  </si>
  <si>
    <t xml:space="preserve">One-year decline of about $69B, roughly the whole data center line</t>
  </si>
  <si>
    <t xml:space="preserve">Office excluding data centers, SAAR</t>
  </si>
  <si>
    <t xml:space="preserve">Census files data centers under office; the rest of office is shrinking</t>
  </si>
  <si>
    <t xml:space="preserve">Data center share of all construction, SAAR</t>
  </si>
  <si>
    <t xml:space="preserve">Share a year earlier in column C</t>
  </si>
  <si>
    <t xml:space="preserve">Annualized = Jan-Jul NSA cumulative x 12/7, the same convention as the 2026 bar on the Put in Place vs Capex tab. It slightly understates the full year for total construction because January to March are seasonally light months; the SAAR rows show the current pace. Business income, GDP and net wealth are taken as published on the CRE42 U.S. National Balance Sheet page so the two pages agree; net wealth is a stock and is not charted with the flows.</t>
  </si>
  <si>
    <t xml:space="preserve">Construction put in place by sector, January to July 2026, not seasonally adjusted, annualized x 12/7 ($ billions, private + public; Census Table 2). July SAAR from Table 1 for reference.</t>
  </si>
  <si>
    <t xml:space="preserve">Sector</t>
  </si>
  <si>
    <t xml:space="preserve">Jan-Jul 2026 NSA ($B)</t>
  </si>
  <si>
    <t xml:space="preserve">Jan-Jul 2025 NSA ($B)</t>
  </si>
  <si>
    <t xml:space="preserve">Change, Jan-Jul</t>
  </si>
  <si>
    <t xml:space="preserve">Annualized 2026 ($B)</t>
  </si>
  <si>
    <t xml:space="preserve">Share of total</t>
  </si>
  <si>
    <t xml:space="preserve">Jul 2026 SAAR ($B)</t>
  </si>
  <si>
    <t xml:space="preserve">Jul 2025 SAAR ($B)</t>
  </si>
  <si>
    <t xml:space="preserve">Change, SAAR</t>
  </si>
  <si>
    <t xml:space="preserve">Residential</t>
  </si>
  <si>
    <t xml:space="preserve">Includes improvements</t>
  </si>
  <si>
    <t xml:space="preserve">Data center (sub-type of office)</t>
  </si>
  <si>
    <t xml:space="preserve">Private only; Census reports no public data center line</t>
  </si>
  <si>
    <t xml:space="preserve">Office excluding data centers</t>
  </si>
  <si>
    <t xml:space="preserve">Derived: office total less data center</t>
  </si>
  <si>
    <t xml:space="preserve">Power</t>
  </si>
  <si>
    <t xml:space="preserve">Electric, gas, oil pipelines</t>
  </si>
  <si>
    <t xml:space="preserve">Manufacturing</t>
  </si>
  <si>
    <t xml:space="preserve">Post-CHIPS-Act peak in 2025</t>
  </si>
  <si>
    <t xml:space="preserve">Highway and street</t>
  </si>
  <si>
    <t xml:space="preserve">Public</t>
  </si>
  <si>
    <t xml:space="preserve">Educational</t>
  </si>
  <si>
    <t xml:space="preserve">Commercial</t>
  </si>
  <si>
    <t xml:space="preserve">Retail, warehouse, farm</t>
  </si>
  <si>
    <t xml:space="preserve">Health care</t>
  </si>
  <si>
    <t xml:space="preserve">Transportation</t>
  </si>
  <si>
    <t xml:space="preserve">All other</t>
  </si>
  <si>
    <t xml:space="preserve">Lodging, religious, public safety, amusement, communication, sewage, water, conservation</t>
  </si>
  <si>
    <t xml:space="preserve">Total construction</t>
  </si>
  <si>
    <t xml:space="preserve">Census Tables 2 and 1</t>
  </si>
  <si>
    <t xml:space="preserve">Memo: Office total (Census line)</t>
  </si>
  <si>
    <t xml:space="preserve">Includes data centers</t>
  </si>
  <si>
    <t xml:space="preserve">Chart helper (flows only, $ trillions)</t>
  </si>
  <si>
    <t xml:space="preserve">$ trillions</t>
  </si>
  <si>
    <t xml:space="preserve">Data center construction (Jan-Jul 2026, annualized)</t>
  </si>
  <si>
    <t xml:space="preserve">Hyperscaler capex, 2026 guidance</t>
  </si>
  <si>
    <t xml:space="preserve">All U.S. construction (Jan-Jul 2026, annualized)</t>
  </si>
  <si>
    <t xml:space="preserve">U.S. GDP</t>
  </si>
</sst>
</file>

<file path=xl/styles.xml><?xml version="1.0" encoding="utf-8"?>
<styleSheet xmlns="http://schemas.openxmlformats.org/spreadsheetml/2006/main">
  <numFmts count="11">
    <numFmt numFmtId="164" formatCode="General"/>
    <numFmt numFmtId="165" formatCode="mmm\-yy"/>
    <numFmt numFmtId="166" formatCode="0.0%"/>
    <numFmt numFmtId="167" formatCode="General"/>
    <numFmt numFmtId="168" formatCode="\$#,##0.0,\B"/>
    <numFmt numFmtId="169" formatCode="0.0"/>
    <numFmt numFmtId="170" formatCode="0%"/>
    <numFmt numFmtId="171" formatCode="#,##0.0"/>
    <numFmt numFmtId="172" formatCode="0.00%"/>
    <numFmt numFmtId="173" formatCode="0.00"/>
    <numFmt numFmtId="174" formatCode="\$#,##0.0\T"/>
  </numFmts>
  <fonts count="10">
    <font>
      <sz val="11"/>
      <color theme="1"/>
      <name val="Calibri"/>
      <family val="2"/>
      <charset val="1"/>
    </font>
    <font>
      <sz val="10"/>
      <name val="Arial"/>
      <family val="0"/>
    </font>
    <font>
      <sz val="10"/>
      <name val="Arial"/>
      <family val="0"/>
    </font>
    <font>
      <sz val="10"/>
      <name val="Arial"/>
      <family val="0"/>
    </font>
    <font>
      <b val="true"/>
      <sz val="13"/>
      <name val="Cambria"/>
      <family val="0"/>
      <charset val="1"/>
    </font>
    <font>
      <b val="true"/>
      <sz val="11"/>
      <color rgb="FFFFFFFF"/>
      <name val="Cambria"/>
      <family val="0"/>
      <charset val="1"/>
    </font>
    <font>
      <b val="true"/>
      <sz val="11"/>
      <name val="Cambria"/>
      <family val="0"/>
      <charset val="1"/>
    </font>
    <font>
      <i val="true"/>
      <sz val="11"/>
      <name val="Cambria"/>
      <family val="0"/>
      <charset val="1"/>
    </font>
    <font>
      <b val="true"/>
      <sz val="18"/>
      <color rgb="FF000000"/>
      <name val="Calibri"/>
      <family val="2"/>
    </font>
    <font>
      <sz val="10"/>
      <color rgb="FF000000"/>
      <name val="Calibri"/>
      <family val="2"/>
    </font>
  </fonts>
  <fills count="3">
    <fill>
      <patternFill patternType="none"/>
    </fill>
    <fill>
      <patternFill patternType="gray125"/>
    </fill>
    <fill>
      <patternFill patternType="solid">
        <fgColor rgb="FFA31F34"/>
        <bgColor rgb="FF800000"/>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2" borderId="0" xfId="0" applyFont="true" applyBorder="false" applyAlignment="true" applyProtection="false">
      <alignment horizontal="general" vertical="top" textRotation="0" wrapText="tru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9" fontId="0" fillId="0" borderId="0" xfId="0" applyFont="false" applyBorder="false" applyAlignment="true" applyProtection="false">
      <alignment horizontal="general" vertical="top" textRotation="0" wrapText="tru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70" fontId="0" fillId="0" borderId="0" xfId="0" applyFont="fals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70" fontId="6" fillId="0" borderId="0" xfId="0" applyFont="true" applyBorder="false" applyAlignment="true" applyProtection="false">
      <alignment horizontal="general" vertical="top" textRotation="0" wrapText="true" indent="0" shrinkToFit="false"/>
      <protection locked="true" hidden="false"/>
    </xf>
    <xf numFmtId="169" fontId="6" fillId="0" borderId="0" xfId="0" applyFont="true" applyBorder="false" applyAlignment="true" applyProtection="false">
      <alignment horizontal="general" vertical="top" textRotation="0" wrapText="true" indent="0" shrinkToFit="false"/>
      <protection locked="true" hidden="false"/>
    </xf>
    <xf numFmtId="169" fontId="0" fillId="0" borderId="0" xfId="0" applyFont="false" applyBorder="false" applyAlignment="false" applyProtection="false">
      <alignment horizontal="general" vertical="bottom" textRotation="0" wrapText="false" indent="0" shrinkToFit="false"/>
      <protection locked="true" hidden="false"/>
    </xf>
    <xf numFmtId="170"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true" applyAlignment="true" applyProtection="false">
      <alignment horizontal="general" vertical="top" textRotation="0" wrapText="true" indent="0" shrinkToFit="false"/>
      <protection locked="true" hidden="false"/>
    </xf>
    <xf numFmtId="171" fontId="0" fillId="0" borderId="0" xfId="0" applyFont="false" applyBorder="false" applyAlignment="true" applyProtection="false">
      <alignment horizontal="general" vertical="top" textRotation="0" wrapText="true" indent="0" shrinkToFit="false"/>
      <protection locked="true" hidden="false"/>
    </xf>
    <xf numFmtId="172" fontId="0" fillId="0" borderId="0" xfId="0" applyFont="false" applyBorder="false" applyAlignment="true" applyProtection="false">
      <alignment horizontal="general" vertical="top" textRotation="0" wrapText="true" indent="0" shrinkToFit="false"/>
      <protection locked="true" hidden="false"/>
    </xf>
    <xf numFmtId="166" fontId="0" fillId="0" borderId="0" xfId="0" applyFont="false" applyBorder="false" applyAlignment="true" applyProtection="false">
      <alignment horizontal="general" vertical="top" textRotation="0" wrapText="true" indent="0" shrinkToFit="false"/>
      <protection locked="true" hidden="false"/>
    </xf>
    <xf numFmtId="171" fontId="6" fillId="0" borderId="0" xfId="0" applyFont="true" applyBorder="false" applyAlignment="true" applyProtection="false">
      <alignment horizontal="general" vertical="top" textRotation="0" wrapText="true" indent="0" shrinkToFit="false"/>
      <protection locked="true" hidden="false"/>
    </xf>
    <xf numFmtId="166" fontId="6" fillId="0" borderId="0" xfId="0" applyFont="true" applyBorder="false" applyAlignment="true" applyProtection="false">
      <alignment horizontal="general" vertical="top" textRotation="0" wrapText="true" indent="0" shrinkToFit="false"/>
      <protection locked="true" hidden="false"/>
    </xf>
    <xf numFmtId="173"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AA64F"/>
      <rgbColor rgb="FF800080"/>
      <rgbColor rgb="FF4F81BD"/>
      <rgbColor rgb="FFB8CD97"/>
      <rgbColor rgb="FF878787"/>
      <rgbColor rgb="FF93A9CE"/>
      <rgbColor rgb="FFA31F34"/>
      <rgbColor rgb="FFFFFFCC"/>
      <rgbColor rgb="FFCCFFFF"/>
      <rgbColor rgb="FF660066"/>
      <rgbColor rgb="FFDC853E"/>
      <rgbColor rgb="FF4672A8"/>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2C3D5"/>
      <rgbColor rgb="FFD09493"/>
      <rgbColor rgb="FFCC99FF"/>
      <rgbColor rgb="FFFFCC99"/>
      <rgbColor rgb="FF4A7EBB"/>
      <rgbColor rgb="FF33CCCC"/>
      <rgbColor rgb="FF98B855"/>
      <rgbColor rgb="FFFFCC00"/>
      <rgbColor rgb="FFFF9900"/>
      <rgbColor rgb="FFFF6600"/>
      <rgbColor rgb="FF725990"/>
      <rgbColor rgb="FFA99BBD"/>
      <rgbColor rgb="FF003366"/>
      <rgbColor rgb="FF4299B0"/>
      <rgbColor rgb="FF003300"/>
      <rgbColor rgb="FF333300"/>
      <rgbColor rgb="FFC0504D"/>
      <rgbColor rgb="FFBE4B48"/>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Data center construction put in place, SA annual rate</a:t>
            </a:r>
          </a:p>
        </rich>
      </tx>
    </title>
    <plotArea>
      <lineChart>
        <grouping val="standard"/>
        <ser>
          <idx val="0"/>
          <order val="0"/>
          <tx>
            <strRef>
              <f>'Census DC Put in Place'!C3</f>
            </strRef>
          </tx>
          <spPr>
            <a:ln xmlns:a="http://schemas.openxmlformats.org/drawingml/2006/main">
              <a:prstDash val="solid"/>
            </a:ln>
          </spPr>
          <marker>
            <symbol val="none"/>
            <spPr>
              <a:ln xmlns:a="http://schemas.openxmlformats.org/drawingml/2006/main">
                <a:prstDash val="solid"/>
              </a:ln>
            </spPr>
          </marker>
          <cat>
            <numRef>
              <f>'Census DC Put in Place'!$A$4:$A$154</f>
            </numRef>
          </cat>
          <val>
            <numRef>
              <f>'Census DC Put in Place'!$C$4:$C$154</f>
            </numRef>
          </val>
        </ser>
        <axId val="10"/>
        <axId val="100"/>
      </lineChart>
      <catAx>
        <axId val="10"/>
        <scaling>
          <orientation val="minMax"/>
        </scaling>
        <delete val="0"/>
        <axPos val="l"/>
        <numFmt formatCode="yyyy" sourceLinked="0"/>
        <majorTickMark val="none"/>
        <minorTickMark val="none"/>
        <crossAx val="100"/>
        <lblOffset val="100"/>
      </catAx>
      <valAx>
        <axId val="100"/>
        <scaling>
          <orientation val="minMax"/>
        </scaling>
        <delete val="0"/>
        <axPos val="l"/>
        <majorGridlines/>
        <numFmt formatCode="$#,##0.0,&quot;B&quot;" sourceLinked="0"/>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2026 capex guidance, low end ($B)</a:t>
            </a:r>
          </a:p>
        </rich>
      </tx>
    </title>
    <plotArea>
      <barChart>
        <barDir val="col"/>
        <grouping val="clustered"/>
        <ser>
          <idx val="0"/>
          <order val="0"/>
          <tx>
            <strRef>
              <f>'Hyperscaler Capex'!G3</f>
            </strRef>
          </tx>
          <spPr>
            <a:ln xmlns:a="http://schemas.openxmlformats.org/drawingml/2006/main">
              <a:prstDash val="solid"/>
            </a:ln>
          </spPr>
          <cat>
            <numRef>
              <f>'Hyperscaler Capex'!$A$4:$A$7</f>
            </numRef>
          </cat>
          <val>
            <numRef>
              <f>'Hyperscaler Capex'!$G$4:$G$7</f>
            </numRef>
          </val>
        </ser>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majorGridlines/>
        <majorTickMark val="none"/>
        <minorTickMark val="none"/>
        <crossAx val="10"/>
      </valAx>
    </plotArea>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Hyperscaler total capex vs. data center structure spending, 2026 ($B)</a:t>
            </a:r>
          </a:p>
        </rich>
      </tx>
    </title>
    <plotArea>
      <barChart>
        <barDir val="bar"/>
        <grouping val="clustered"/>
        <ser>
          <idx val="0"/>
          <order val="0"/>
          <tx>
            <strRef>
              <f>'Const Cost vs Total Capex'!B3</f>
            </strRef>
          </tx>
          <spPr>
            <a:ln xmlns:a="http://schemas.openxmlformats.org/drawingml/2006/main">
              <a:prstDash val="solid"/>
            </a:ln>
          </spPr>
          <cat>
            <numRef>
              <f>'Const Cost vs Total Capex'!$A$4:$A$6</f>
            </numRef>
          </cat>
          <val>
            <numRef>
              <f>'Const Cost vs Total Capex'!$B$4:$B$6</f>
            </numRef>
          </val>
        </ser>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majorGridlines/>
        <majorTickMark val="none"/>
        <minorTickMark val="none"/>
        <crossAx val="10"/>
      </valAx>
    </plotArea>
    <plotVisOnly val="1"/>
    <dispBlanksAs val="gap"/>
  </chart>
</chartSpace>
</file>

<file path=xl/charts/chart4.xml><?xml version="1.0" encoding="utf-8"?>
<chartSpace xmlns="http://schemas.openxmlformats.org/drawingml/2006/chart">
  <chart>
    <title>
      <tx>
        <rich>
          <a:bodyPr xmlns:a="http://schemas.openxmlformats.org/drawingml/2006/main"/>
          <a:p xmlns:a="http://schemas.openxmlformats.org/drawingml/2006/main">
            <a:pPr>
              <a:defRPr/>
            </a:pPr>
            <a:r>
              <a:t>Cost distribution, 1 GW AI data center ($B per GW)</a:t>
            </a:r>
          </a:p>
        </rich>
      </tx>
    </title>
    <plotArea>
      <barChart>
        <barDir val="bar"/>
        <grouping val="clustered"/>
        <ser>
          <idx val="0"/>
          <order val="0"/>
          <tx>
            <strRef>
              <f>'AI Campus Cost Build-Up'!B18</f>
            </strRef>
          </tx>
          <spPr>
            <a:ln xmlns:a="http://schemas.openxmlformats.org/drawingml/2006/main">
              <a:prstDash val="solid"/>
            </a:ln>
          </spPr>
          <cat>
            <numRef>
              <f>'AI Campus Cost Build-Up'!$A$19:$A$27</f>
            </numRef>
          </cat>
          <val>
            <numRef>
              <f>'AI Campus Cost Build-Up'!$B$19:$B$27</f>
            </numRef>
          </val>
        </ser>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majorGridlines/>
        <majorTickMark val="none"/>
        <minorTickMark val="none"/>
        <crossAx val="10"/>
      </valAx>
    </plotArea>
    <plotVisOnly val="1"/>
    <dispBlanksAs val="gap"/>
  </chart>
</chartSpace>
</file>

<file path=xl/charts/chart5.xml><?xml version="1.0" encoding="utf-8"?>
<chartSpace xmlns="http://schemas.openxmlformats.org/drawingml/2006/chart">
  <chart>
    <title>
      <tx>
        <rich>
          <a:bodyPr xmlns:a="http://schemas.openxmlformats.org/drawingml/2006/main"/>
          <a:p xmlns:a="http://schemas.openxmlformats.org/drawingml/2006/main">
            <a:pPr>
              <a:defRPr/>
            </a:pPr>
            <a:r>
              <a:t>Construction put in place vs. all other hyperscaler capex ($B)</a:t>
            </a:r>
          </a:p>
        </rich>
      </tx>
    </title>
    <plotArea>
      <barChart>
        <barDir val="col"/>
        <grouping val="stacked"/>
        <ser>
          <idx val="0"/>
          <order val="0"/>
          <tx>
            <strRef>
              <f>'Put in Place vs Capex'!G4</f>
            </strRef>
          </tx>
          <spPr>
            <a:ln xmlns:a="http://schemas.openxmlformats.org/drawingml/2006/main">
              <a:prstDash val="solid"/>
            </a:ln>
          </spPr>
          <cat>
            <numRef>
              <f>'Put in Place vs Capex'!$A$5:$A$11</f>
            </numRef>
          </cat>
          <val>
            <numRef>
              <f>'Put in Place vs Capex'!$G$5:$G$11</f>
            </numRef>
          </val>
        </ser>
        <ser>
          <idx val="1"/>
          <order val="1"/>
          <tx>
            <strRef>
              <f>'Put in Place vs Capex'!I4</f>
            </strRef>
          </tx>
          <spPr>
            <a:ln xmlns:a="http://schemas.openxmlformats.org/drawingml/2006/main">
              <a:prstDash val="solid"/>
            </a:ln>
          </spPr>
          <cat>
            <numRef>
              <f>'Put in Place vs Capex'!$A$5:$A$11</f>
            </numRef>
          </cat>
          <val>
            <numRef>
              <f>'Put in Place vs Capex'!$I$5:$I$11</f>
            </numRef>
          </val>
        </ser>
        <gapWidth val="150"/>
        <overlap val="100"/>
        <axId val="10"/>
        <axId val="100"/>
      </barChart>
      <catAx>
        <axId val="10"/>
        <scaling>
          <orientation val="minMax"/>
        </scaling>
        <delete val="0"/>
        <axPos val="l"/>
        <majorTickMark val="none"/>
        <minorTickMark val="none"/>
        <crossAx val="100"/>
        <lblOffset val="100"/>
      </catAx>
      <valAx>
        <axId val="100"/>
        <scaling>
          <orientation val="minMax"/>
        </scaling>
        <delete val="0"/>
        <axPos val="l"/>
        <majorGridlines/>
        <majorTickMark val="none"/>
        <minorTickMark val="none"/>
        <crossAx val="10"/>
      </valAx>
    </plotArea>
    <legend>
      <legendPos val="b"/>
    </legend>
    <plotVisOnly val="1"/>
    <dispBlanksAs val="gap"/>
  </chart>
</chartSpace>
</file>

<file path=xl/charts/chart6.xml><?xml version="1.0" encoding="utf-8"?>
<chartSpace xmlns="http://schemas.openxmlformats.org/drawingml/2006/chart">
  <chart>
    <title>
      <tx>
        <rich>
          <a:bodyPr xmlns:a="http://schemas.openxmlformats.org/drawingml/2006/main"/>
          <a:p xmlns:a="http://schemas.openxmlformats.org/drawingml/2006/main">
            <a:pPr>
              <a:defRPr/>
            </a:pPr>
            <a:r>
              <a:t>HS 8471 imports, monthly ($M)</a:t>
            </a:r>
          </a:p>
        </rich>
      </tx>
    </title>
    <plotArea>
      <lineChart>
        <grouping val="standard"/>
        <ser>
          <idx val="0"/>
          <order val="0"/>
          <tx>
            <strRef>
              <f>'Server Imports HS 8471'!C3</f>
            </strRef>
          </tx>
          <spPr>
            <a:ln xmlns:a="http://schemas.openxmlformats.org/drawingml/2006/main">
              <a:prstDash val="solid"/>
            </a:ln>
          </spPr>
          <marker>
            <symbol val="none"/>
            <spPr>
              <a:ln xmlns:a="http://schemas.openxmlformats.org/drawingml/2006/main">
                <a:prstDash val="solid"/>
              </a:ln>
            </spPr>
          </marker>
          <cat>
            <numRef>
              <f>'Server Imports HS 8471'!$A$4:$A$45</f>
            </numRef>
          </cat>
          <val>
            <numRef>
              <f>'Server Imports HS 8471'!$C$4:$C$45</f>
            </numRef>
          </val>
        </ser>
        <ser>
          <idx val="1"/>
          <order val="1"/>
          <tx>
            <strRef>
              <f>'Server Imports HS 8471'!D3</f>
            </strRef>
          </tx>
          <spPr>
            <a:ln xmlns:a="http://schemas.openxmlformats.org/drawingml/2006/main">
              <a:prstDash val="solid"/>
            </a:ln>
          </spPr>
          <marker>
            <symbol val="none"/>
            <spPr>
              <a:ln xmlns:a="http://schemas.openxmlformats.org/drawingml/2006/main">
                <a:prstDash val="solid"/>
              </a:ln>
            </spPr>
          </marker>
          <cat>
            <numRef>
              <f>'Server Imports HS 8471'!$A$4:$A$45</f>
            </numRef>
          </cat>
          <val>
            <numRef>
              <f>'Server Imports HS 8471'!$D$4:$D$45</f>
            </numRef>
          </val>
        </ser>
        <ser>
          <idx val="2"/>
          <order val="2"/>
          <tx>
            <strRef>
              <f>'Server Imports HS 8471'!E3</f>
            </strRef>
          </tx>
          <spPr>
            <a:ln xmlns:a="http://schemas.openxmlformats.org/drawingml/2006/main">
              <a:prstDash val="solid"/>
            </a:ln>
          </spPr>
          <marker>
            <symbol val="none"/>
            <spPr>
              <a:ln xmlns:a="http://schemas.openxmlformats.org/drawingml/2006/main">
                <a:prstDash val="solid"/>
              </a:ln>
            </spPr>
          </marker>
          <cat>
            <numRef>
              <f>'Server Imports HS 8471'!$A$4:$A$45</f>
            </numRef>
          </cat>
          <val>
            <numRef>
              <f>'Server Imports HS 8471'!$E$4:$E$45</f>
            </numRef>
          </val>
        </ser>
        <axId val="10"/>
        <axId val="100"/>
      </lineChart>
      <catAx>
        <axId val="10"/>
        <scaling>
          <orientation val="minMax"/>
        </scaling>
        <delete val="0"/>
        <axPos val="l"/>
        <numFmt formatCode="mmm-yy" sourceLinked="0"/>
        <majorTickMark val="none"/>
        <minorTickMark val="none"/>
        <crossAx val="100"/>
        <lblOffset val="100"/>
      </catAx>
      <valAx>
        <axId val="100"/>
        <scaling>
          <orientation val="minMax"/>
        </scaling>
        <delete val="0"/>
        <axPos val="l"/>
        <majorGridlines/>
        <majorTickMark val="none"/>
        <minorTickMark val="none"/>
        <crossAx val="10"/>
      </valAx>
    </plotArea>
    <legend>
      <legendPos val="b"/>
    </legend>
    <plotVisOnly val="1"/>
    <dispBlanksAs val="gap"/>
  </chart>
</chartSpace>
</file>

<file path=xl/charts/chart7.xml><?xml version="1.0" encoding="utf-8"?>
<chartSpace xmlns="http://schemas.openxmlformats.org/drawingml/2006/chart">
  <chart>
    <title>
      <tx>
        <rich>
          <a:bodyPr xmlns:a="http://schemas.openxmlformats.org/drawingml/2006/main"/>
          <a:p xmlns:a="http://schemas.openxmlformats.org/drawingml/2006/main">
            <a:pPr>
              <a:defRPr/>
            </a:pPr>
            <a:r>
              <a:t>Annualized 2026 flows ($ trillions)</a:t>
            </a:r>
          </a:p>
        </rich>
      </tx>
    </title>
    <plotArea>
      <barChart>
        <barDir val="bar"/>
        <grouping val="clustered"/>
        <ser>
          <idx val="0"/>
          <order val="0"/>
          <tx>
            <strRef>
              <f>'Scale Context'!B61</f>
            </strRef>
          </tx>
          <spPr>
            <a:ln xmlns:a="http://schemas.openxmlformats.org/drawingml/2006/main">
              <a:prstDash val="solid"/>
            </a:ln>
          </spPr>
          <cat>
            <numRef>
              <f>'Scale Context'!$A$62:$A$66</f>
            </numRef>
          </cat>
          <val>
            <numRef>
              <f>'Scale Context'!$B$62:$B$66</f>
            </numRef>
          </val>
        </ser>
        <gapWidth val="150"/>
        <axId val="10"/>
        <axId val="100"/>
      </barChart>
      <catAx>
        <axId val="10"/>
        <scaling>
          <orientation val="maxMin"/>
        </scaling>
        <delete val="0"/>
        <axPos val="l"/>
        <majorTickMark val="none"/>
        <minorTickMark val="none"/>
        <crossAx val="100"/>
        <lblOffset val="100"/>
      </catAx>
      <valAx>
        <axId val="100"/>
        <scaling>
          <orientation val="minMax"/>
        </scaling>
        <delete val="0"/>
        <axPos val="l"/>
        <majorGridlines/>
        <numFmt formatCode="$#,##0.0&quot;T&quot;" sourceLinked="0"/>
        <majorTickMark val="none"/>
        <minorTickMark val="none"/>
        <crossAx val="10"/>
      </valAx>
    </plotArea>
    <plotVisOnly val="1"/>
    <dispBlanksAs val="gap"/>
  </chart>
</chartSpace>
</file>

<file path=xl/charts/chart8.xml><?xml version="1.0" encoding="utf-8"?>
<chartSpace xmlns="http://schemas.openxmlformats.org/drawingml/2006/chart">
  <chart>
    <title>
      <tx>
        <rich>
          <a:bodyPr xmlns:a="http://schemas.openxmlformats.org/drawingml/2006/main"/>
          <a:p xmlns:a="http://schemas.openxmlformats.org/drawingml/2006/main">
            <a:pPr>
              <a:defRPr/>
            </a:pPr>
            <a:r>
              <a:t>U.S. construction by sector, Jan-Jul 2026 annualized</a:t>
            </a:r>
          </a:p>
        </rich>
      </tx>
    </title>
    <plotArea>
      <pieChart>
        <varyColors val="1"/>
        <ser>
          <idx val="0"/>
          <order val="0"/>
          <spPr>
            <a:ln xmlns:a="http://schemas.openxmlformats.org/drawingml/2006/main">
              <a:prstDash val="solid"/>
            </a:ln>
          </spPr>
          <dPt>
            <idx val="1"/>
            <spPr>
              <a:solidFill xmlns:a="http://schemas.openxmlformats.org/drawingml/2006/main">
                <a:srgbClr val="A31F34"/>
              </a:solidFill>
              <a:ln xmlns:a="http://schemas.openxmlformats.org/drawingml/2006/main">
                <a:prstDash val="solid"/>
              </a:ln>
            </spPr>
          </dPt>
          <cat>
            <numRef>
              <f>'Scale Context'!$A$46:$A$56</f>
            </numRef>
          </cat>
          <val>
            <numRef>
              <f>'Scale Context'!$E$46:$E$56</f>
            </numRef>
          </val>
        </ser>
        <dLbls>
          <showVal val="0"/>
          <showCatName val="0"/>
          <showSerName val="0"/>
          <showPercent val="1"/>
          <showLeaderLines val="1"/>
        </dLbls>
        <firstSliceAng val="0"/>
      </pieChart>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_rels/drawing2.xml.rels><Relationships xmlns="http://schemas.openxmlformats.org/package/2006/relationships"><Relationship Type="http://schemas.openxmlformats.org/officeDocument/2006/relationships/chart" Target="/xl/charts/chart2.xml" Id="rId1"/></Relationships>
</file>

<file path=xl/drawings/_rels/drawing3.xml.rels><Relationships xmlns="http://schemas.openxmlformats.org/package/2006/relationships"><Relationship Type="http://schemas.openxmlformats.org/officeDocument/2006/relationships/chart" Target="/xl/charts/chart3.xml" Id="rId1"/></Relationships>
</file>

<file path=xl/drawings/_rels/drawing4.xml.rels><Relationships xmlns="http://schemas.openxmlformats.org/package/2006/relationships"><Relationship Type="http://schemas.openxmlformats.org/officeDocument/2006/relationships/chart" Target="/xl/charts/chart4.xml" Id="rId1"/></Relationships>
</file>

<file path=xl/drawings/_rels/drawing5.xml.rels><Relationships xmlns="http://schemas.openxmlformats.org/package/2006/relationships"><Relationship Type="http://schemas.openxmlformats.org/officeDocument/2006/relationships/chart" Target="/xl/charts/chart5.xml" Id="rId1"/></Relationships>
</file>

<file path=xl/drawings/_rels/drawing6.xml.rels><Relationships xmlns="http://schemas.openxmlformats.org/package/2006/relationships"><Relationship Type="http://schemas.openxmlformats.org/officeDocument/2006/relationships/chart" Target="/xl/charts/chart6.xml" Id="rId1"/></Relationships>
</file>

<file path=xl/drawings/_rels/drawing7.xml.rels><Relationships xmlns="http://schemas.openxmlformats.org/package/2006/relationships"><Relationship Type="http://schemas.openxmlformats.org/officeDocument/2006/relationships/chart" Target="/xl/charts/chart7.xml" Id="rId1"/><Relationship Type="http://schemas.openxmlformats.org/officeDocument/2006/relationships/chart" Target="/xl/charts/chart8.xml" Id="rId2"/></Relationships>
</file>

<file path=xl/drawings/drawing1.xml><?xml version="1.0" encoding="utf-8"?>
<wsDr xmlns="http://schemas.openxmlformats.org/drawingml/2006/spreadsheetDrawing">
  <oneCellAnchor>
    <from>
      <col>9</col>
      <colOff>0</colOff>
      <row>2</row>
      <rowOff>0</rowOff>
    </from>
    <ext cx="9360000" cy="43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2.xml><?xml version="1.0" encoding="utf-8"?>
<wsDr xmlns="http://schemas.openxmlformats.org/drawingml/2006/spreadsheetDrawing">
  <oneCellAnchor>
    <from>
      <col>0</col>
      <colOff>0</colOff>
      <row>14</row>
      <rowOff>0</rowOff>
    </from>
    <ext cx="648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3.xml><?xml version="1.0" encoding="utf-8"?>
<wsDr xmlns="http://schemas.openxmlformats.org/drawingml/2006/spreadsheetDrawing">
  <oneCellAnchor>
    <from>
      <col>0</col>
      <colOff>0</colOff>
      <row>8</row>
      <rowOff>0</rowOff>
    </from>
    <ext cx="720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4.xml><?xml version="1.0" encoding="utf-8"?>
<wsDr xmlns="http://schemas.openxmlformats.org/drawingml/2006/spreadsheetDrawing">
  <oneCellAnchor>
    <from>
      <col>3</col>
      <colOff>0</colOff>
      <row>17</row>
      <rowOff>0</rowOff>
    </from>
    <ext cx="6480000" cy="36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5.xml><?xml version="1.0" encoding="utf-8"?>
<wsDr xmlns="http://schemas.openxmlformats.org/drawingml/2006/spreadsheetDrawing">
  <oneCellAnchor>
    <from>
      <col>0</col>
      <colOff>0</colOff>
      <row>14</row>
      <rowOff>0</rowOff>
    </from>
    <ext cx="6480000" cy="36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6.xml><?xml version="1.0" encoding="utf-8"?>
<wsDr xmlns="http://schemas.openxmlformats.org/drawingml/2006/spreadsheetDrawing">
  <oneCellAnchor>
    <from>
      <col>12</col>
      <colOff>0</colOff>
      <row>2</row>
      <rowOff>0</rowOff>
    </from>
    <ext cx="7920000" cy="36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7.xml><?xml version="1.0" encoding="utf-8"?>
<wsDr xmlns="http://schemas.openxmlformats.org/drawingml/2006/spreadsheetDrawing">
  <oneCellAnchor>
    <from>
      <col>0</col>
      <colOff>0</colOff>
      <row>10</row>
      <rowOff>0</rowOff>
    </from>
    <ext cx="612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4</col>
      <colOff>0</colOff>
      <row>10</row>
      <rowOff>0</rowOff>
    </from>
    <ext cx="5400000" cy="324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4.xml.rels><?xml version="1.0" encoding="UTF-8"?>
<Relationships xmlns="http://schemas.openxmlformats.org/package/2006/relationships"><Relationship Id="rId1" Type="http://schemas.openxmlformats.org/officeDocument/2006/relationships/drawing" Target="../drawings/drawing3.xml"/>
</Relationships>
</file>

<file path=xl/worksheets/_rels/sheet5.xml.rels><?xml version="1.0" encoding="UTF-8"?>
<Relationships xmlns="http://schemas.openxmlformats.org/package/2006/relationships"><Relationship Id="rId1" Type="http://schemas.openxmlformats.org/officeDocument/2006/relationships/drawing" Target="../drawings/drawing4.xml"/>
</Relationships>
</file>

<file path=xl/worksheets/_rels/sheet6.xml.rels><?xml version="1.0" encoding="UTF-8"?>
<Relationships xmlns="http://schemas.openxmlformats.org/package/2006/relationships"><Relationship Id="rId1" Type="http://schemas.openxmlformats.org/officeDocument/2006/relationships/drawing" Target="../drawings/drawing5.xml"/>
</Relationships>
</file>

<file path=xl/worksheets/_rels/sheet8.xml.rels><?xml version="1.0" encoding="UTF-8"?>
<Relationships xmlns="http://schemas.openxmlformats.org/package/2006/relationships"><Relationship Id="rId1" Type="http://schemas.openxmlformats.org/officeDocument/2006/relationships/drawing" Target="../drawings/drawing6.xml"/>
</Relationships>
</file>

<file path=xl/worksheets/_rels/sheet9.xml.rels><?xml version="1.0" encoding="UTF-8"?>
<Relationships xmlns="http://schemas.openxmlformats.org/package/2006/relationships"><Relationship Id="rId1" Type="http://schemas.openxmlformats.org/officeDocument/2006/relationships/drawing" Target="../drawings/drawing7.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1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8"/>
    <col collapsed="false" customWidth="true" hidden="false" outlineLevel="0" max="3" min="3" style="0" width="30"/>
    <col collapsed="false" customWidth="true" hidden="false" outlineLevel="0" max="4" min="4" style="0" width="22"/>
    <col collapsed="false" customWidth="true" hidden="false" outlineLevel="0" max="5" min="5" style="0" width="40"/>
    <col collapsed="false" customWidth="true" hidden="false" outlineLevel="0" max="6" min="6" style="0" width="22"/>
    <col collapsed="false" customWidth="true" hidden="false" outlineLevel="0" max="7" min="7" style="0" width="12"/>
    <col collapsed="false" customWidth="true" hidden="false" outlineLevel="0" max="8" min="8" style="0" width="34"/>
    <col collapsed="false" customWidth="true" hidden="false" outlineLevel="0" max="9" min="9" style="0" width="60"/>
  </cols>
  <sheetData>
    <row r="1" customFormat="false" ht="16.15" hidden="false" customHeight="false" outlineLevel="0" collapsed="false">
      <c r="A1" s="1" t="s">
        <v>0</v>
      </c>
    </row>
    <row r="3" customFormat="false" ht="28.35" hidden="false" customHeight="false" outlineLevel="0" collapsed="false">
      <c r="A3" s="2" t="s">
        <v>1</v>
      </c>
      <c r="B3" s="2" t="s">
        <v>2</v>
      </c>
      <c r="C3" s="2" t="s">
        <v>3</v>
      </c>
      <c r="D3" s="2" t="s">
        <v>4</v>
      </c>
      <c r="E3" s="2" t="s">
        <v>5</v>
      </c>
      <c r="F3" s="2" t="s">
        <v>6</v>
      </c>
      <c r="G3" s="2" t="s">
        <v>7</v>
      </c>
      <c r="H3" s="2" t="s">
        <v>8</v>
      </c>
      <c r="I3" s="2" t="s">
        <v>9</v>
      </c>
    </row>
    <row r="4" customFormat="false" ht="55.2" hidden="false" customHeight="false" outlineLevel="0" collapsed="false">
      <c r="A4" s="3" t="s">
        <v>10</v>
      </c>
      <c r="B4" s="3" t="s">
        <v>11</v>
      </c>
      <c r="C4" s="3" t="s">
        <v>12</v>
      </c>
      <c r="D4" s="3" t="s">
        <v>13</v>
      </c>
      <c r="E4" s="3" t="s">
        <v>14</v>
      </c>
      <c r="F4" s="3" t="s">
        <v>15</v>
      </c>
      <c r="G4" s="3" t="s">
        <v>16</v>
      </c>
      <c r="H4" s="3" t="s">
        <v>17</v>
      </c>
      <c r="I4" s="3" t="s">
        <v>18</v>
      </c>
    </row>
    <row r="5" customFormat="false" ht="68.65" hidden="false" customHeight="false" outlineLevel="0" collapsed="false">
      <c r="A5" s="3" t="s">
        <v>19</v>
      </c>
      <c r="B5" s="3" t="s">
        <v>20</v>
      </c>
      <c r="C5" s="3" t="s">
        <v>21</v>
      </c>
      <c r="D5" s="3" t="s">
        <v>22</v>
      </c>
      <c r="E5" s="3" t="s">
        <v>23</v>
      </c>
      <c r="F5" s="3" t="s">
        <v>24</v>
      </c>
      <c r="G5" s="3" t="s">
        <v>16</v>
      </c>
      <c r="H5" s="3" t="s">
        <v>17</v>
      </c>
      <c r="I5" s="3" t="s">
        <v>25</v>
      </c>
    </row>
    <row r="6" customFormat="false" ht="41.75" hidden="false" customHeight="false" outlineLevel="0" collapsed="false">
      <c r="A6" s="3" t="s">
        <v>26</v>
      </c>
      <c r="B6" s="3" t="s">
        <v>27</v>
      </c>
      <c r="C6" s="3" t="s">
        <v>28</v>
      </c>
      <c r="D6" s="3" t="s">
        <v>29</v>
      </c>
      <c r="E6" s="3" t="s">
        <v>30</v>
      </c>
      <c r="F6" s="3" t="s">
        <v>31</v>
      </c>
      <c r="G6" s="3" t="s">
        <v>16</v>
      </c>
      <c r="H6" s="3" t="s">
        <v>17</v>
      </c>
      <c r="I6" s="3" t="s">
        <v>32</v>
      </c>
    </row>
    <row r="7" customFormat="false" ht="55.2" hidden="false" customHeight="false" outlineLevel="0" collapsed="false">
      <c r="A7" s="3" t="s">
        <v>33</v>
      </c>
      <c r="B7" s="3" t="s">
        <v>34</v>
      </c>
      <c r="C7" s="3" t="s">
        <v>35</v>
      </c>
      <c r="D7" s="3" t="s">
        <v>36</v>
      </c>
      <c r="E7" s="3" t="s">
        <v>37</v>
      </c>
      <c r="F7" s="3" t="s">
        <v>38</v>
      </c>
      <c r="G7" s="3" t="s">
        <v>16</v>
      </c>
      <c r="H7" s="3" t="s">
        <v>17</v>
      </c>
      <c r="I7" s="3" t="s">
        <v>39</v>
      </c>
    </row>
    <row r="8" customFormat="false" ht="68.65" hidden="false" customHeight="false" outlineLevel="0" collapsed="false">
      <c r="A8" s="3" t="s">
        <v>33</v>
      </c>
      <c r="B8" s="3" t="s">
        <v>40</v>
      </c>
      <c r="C8" s="3" t="s">
        <v>41</v>
      </c>
      <c r="D8" s="3" t="s">
        <v>42</v>
      </c>
      <c r="E8" s="3" t="s">
        <v>43</v>
      </c>
      <c r="F8" s="3" t="s">
        <v>44</v>
      </c>
      <c r="G8" s="3" t="s">
        <v>16</v>
      </c>
      <c r="H8" s="3" t="s">
        <v>17</v>
      </c>
      <c r="I8" s="3" t="s">
        <v>45</v>
      </c>
    </row>
    <row r="9" customFormat="false" ht="68.65" hidden="false" customHeight="false" outlineLevel="0" collapsed="false">
      <c r="A9" s="3" t="s">
        <v>46</v>
      </c>
      <c r="B9" s="3" t="s">
        <v>47</v>
      </c>
      <c r="C9" s="3" t="s">
        <v>48</v>
      </c>
      <c r="D9" s="3" t="s">
        <v>22</v>
      </c>
      <c r="E9" s="3" t="s">
        <v>23</v>
      </c>
      <c r="F9" s="3" t="s">
        <v>44</v>
      </c>
      <c r="G9" s="3" t="s">
        <v>16</v>
      </c>
      <c r="H9" s="3" t="s">
        <v>17</v>
      </c>
      <c r="I9" s="3" t="s">
        <v>49</v>
      </c>
    </row>
    <row r="10" customFormat="false" ht="41.75" hidden="false" customHeight="false" outlineLevel="0" collapsed="false">
      <c r="A10" s="3" t="s">
        <v>50</v>
      </c>
      <c r="B10" s="3" t="s">
        <v>51</v>
      </c>
      <c r="C10" s="3" t="s">
        <v>52</v>
      </c>
      <c r="D10" s="3" t="s">
        <v>22</v>
      </c>
      <c r="E10" s="3" t="s">
        <v>53</v>
      </c>
      <c r="F10" s="3" t="s">
        <v>44</v>
      </c>
      <c r="G10" s="3" t="s">
        <v>16</v>
      </c>
      <c r="H10" s="3" t="s">
        <v>17</v>
      </c>
      <c r="I10" s="3" t="s">
        <v>54</v>
      </c>
    </row>
    <row r="11" customFormat="false" ht="41.75" hidden="false" customHeight="false" outlineLevel="0" collapsed="false">
      <c r="A11" s="3" t="s">
        <v>55</v>
      </c>
      <c r="B11" s="3" t="s">
        <v>56</v>
      </c>
      <c r="C11" s="3" t="s">
        <v>57</v>
      </c>
      <c r="D11" s="3" t="s">
        <v>13</v>
      </c>
      <c r="E11" s="3" t="s">
        <v>58</v>
      </c>
      <c r="F11" s="3" t="s">
        <v>59</v>
      </c>
      <c r="G11" s="3" t="s">
        <v>16</v>
      </c>
      <c r="H11" s="3" t="s">
        <v>17</v>
      </c>
      <c r="I11" s="3" t="s">
        <v>60</v>
      </c>
    </row>
    <row r="12" customFormat="false" ht="68.65" hidden="false" customHeight="false" outlineLevel="0" collapsed="false">
      <c r="A12" s="3" t="s">
        <v>61</v>
      </c>
      <c r="B12" s="3" t="s">
        <v>62</v>
      </c>
      <c r="C12" s="3" t="s">
        <v>12</v>
      </c>
      <c r="D12" s="3" t="s">
        <v>13</v>
      </c>
      <c r="E12" s="3" t="s">
        <v>63</v>
      </c>
      <c r="F12" s="3" t="s">
        <v>15</v>
      </c>
      <c r="G12" s="3" t="s">
        <v>64</v>
      </c>
      <c r="H12" s="3" t="s">
        <v>17</v>
      </c>
      <c r="I12" s="3" t="s">
        <v>65</v>
      </c>
    </row>
    <row r="13" customFormat="false" ht="68.65" hidden="false" customHeight="false" outlineLevel="0" collapsed="false">
      <c r="A13" s="3" t="s">
        <v>61</v>
      </c>
      <c r="B13" s="3" t="s">
        <v>66</v>
      </c>
      <c r="C13" s="3" t="s">
        <v>67</v>
      </c>
      <c r="D13" s="3" t="s">
        <v>13</v>
      </c>
      <c r="E13" s="3" t="s">
        <v>68</v>
      </c>
      <c r="F13" s="3" t="s">
        <v>24</v>
      </c>
      <c r="G13" s="3" t="s">
        <v>64</v>
      </c>
      <c r="H13" s="3" t="s">
        <v>17</v>
      </c>
      <c r="I13" s="3" t="s">
        <v>69</v>
      </c>
    </row>
    <row r="14" customFormat="false" ht="41.75" hidden="false" customHeight="false" outlineLevel="0" collapsed="false">
      <c r="A14" s="3" t="s">
        <v>26</v>
      </c>
      <c r="B14" s="3" t="s">
        <v>70</v>
      </c>
      <c r="C14" s="3" t="s">
        <v>71</v>
      </c>
      <c r="D14" s="3" t="s">
        <v>72</v>
      </c>
      <c r="E14" s="3" t="s">
        <v>73</v>
      </c>
      <c r="F14" s="3" t="s">
        <v>74</v>
      </c>
      <c r="G14" s="3" t="s">
        <v>16</v>
      </c>
      <c r="H14" s="3" t="s">
        <v>17</v>
      </c>
      <c r="I14" s="3" t="s">
        <v>75</v>
      </c>
    </row>
  </sheetData>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17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8"/>
    <col collapsed="false" customWidth="true" hidden="false" outlineLevel="0" max="4" min="3" style="0" width="22"/>
    <col collapsed="false" customWidth="true" hidden="false" outlineLevel="0" max="5" min="5" style="0" width="24"/>
    <col collapsed="false" customWidth="true" hidden="false" outlineLevel="0" max="6" min="6" style="0" width="16"/>
    <col collapsed="false" customWidth="true" hidden="false" outlineLevel="0" max="7" min="7" style="0" width="24"/>
    <col collapsed="false" customWidth="true" hidden="false" outlineLevel="0" max="8" min="8" style="0" width="20"/>
  </cols>
  <sheetData>
    <row r="1" customFormat="false" ht="15" hidden="false" customHeight="false" outlineLevel="0" collapsed="false">
      <c r="A1" s="4" t="s">
        <v>76</v>
      </c>
    </row>
    <row r="3" customFormat="false" ht="28.35" hidden="false" customHeight="false" outlineLevel="0" collapsed="false">
      <c r="A3" s="2" t="s">
        <v>77</v>
      </c>
      <c r="B3" s="2" t="s">
        <v>78</v>
      </c>
      <c r="C3" s="2" t="s">
        <v>79</v>
      </c>
      <c r="D3" s="2" t="s">
        <v>80</v>
      </c>
      <c r="E3" s="2" t="s">
        <v>81</v>
      </c>
      <c r="F3" s="2" t="s">
        <v>82</v>
      </c>
      <c r="G3" s="2" t="s">
        <v>83</v>
      </c>
      <c r="H3" s="2" t="s">
        <v>84</v>
      </c>
    </row>
    <row r="4" customFormat="false" ht="15" hidden="false" customHeight="false" outlineLevel="0" collapsed="false">
      <c r="A4" s="5" t="n">
        <v>41640</v>
      </c>
      <c r="B4" s="0" t="n">
        <v>2014</v>
      </c>
      <c r="C4" s="0" t="n">
        <v>1637</v>
      </c>
      <c r="D4" s="0" t="n">
        <v>124</v>
      </c>
      <c r="E4" s="0" t="n">
        <v>35629</v>
      </c>
      <c r="F4" s="6" t="n">
        <f aca="false">C4/E4</f>
        <v>0.0459457183754807</v>
      </c>
      <c r="G4" s="0" t="n">
        <v>353903</v>
      </c>
      <c r="H4" s="6" t="n">
        <f aca="false">C4/G4</f>
        <v>0.0046255612413571</v>
      </c>
    </row>
    <row r="5" customFormat="false" ht="15" hidden="false" customHeight="false" outlineLevel="0" collapsed="false">
      <c r="A5" s="5" t="n">
        <v>41671</v>
      </c>
      <c r="B5" s="0" t="n">
        <v>2014</v>
      </c>
      <c r="C5" s="0" t="n">
        <v>1740</v>
      </c>
      <c r="D5" s="0" t="n">
        <v>131</v>
      </c>
      <c r="E5" s="0" t="n">
        <v>35632</v>
      </c>
      <c r="F5" s="6" t="n">
        <f aca="false">C5/E5</f>
        <v>0.048832510103278</v>
      </c>
      <c r="G5" s="0" t="n">
        <v>359437</v>
      </c>
      <c r="H5" s="6" t="n">
        <f aca="false">C5/G5</f>
        <v>0.00484090396926304</v>
      </c>
    </row>
    <row r="6" customFormat="false" ht="15" hidden="false" customHeight="false" outlineLevel="0" collapsed="false">
      <c r="A6" s="5" t="n">
        <v>41699</v>
      </c>
      <c r="B6" s="0" t="n">
        <v>2014</v>
      </c>
      <c r="C6" s="0" t="n">
        <v>1680</v>
      </c>
      <c r="D6" s="0" t="n">
        <v>134</v>
      </c>
      <c r="E6" s="0" t="n">
        <v>35293</v>
      </c>
      <c r="F6" s="6" t="n">
        <f aca="false">C6/E6</f>
        <v>0.0476015073810671</v>
      </c>
      <c r="G6" s="0" t="n">
        <v>355615</v>
      </c>
      <c r="H6" s="6" t="n">
        <f aca="false">C6/G6</f>
        <v>0.00472421017111202</v>
      </c>
    </row>
    <row r="7" customFormat="false" ht="15" hidden="false" customHeight="false" outlineLevel="0" collapsed="false">
      <c r="A7" s="5" t="n">
        <v>41730</v>
      </c>
      <c r="B7" s="0" t="n">
        <v>2014</v>
      </c>
      <c r="C7" s="0" t="n">
        <v>1802</v>
      </c>
      <c r="D7" s="0" t="n">
        <v>146</v>
      </c>
      <c r="E7" s="0" t="n">
        <v>38601</v>
      </c>
      <c r="F7" s="6" t="n">
        <f aca="false">C7/E7</f>
        <v>0.0466827284267247</v>
      </c>
      <c r="G7" s="0" t="n">
        <v>360049</v>
      </c>
      <c r="H7" s="6" t="n">
        <f aca="false">C7/G7</f>
        <v>0.00500487433654864</v>
      </c>
    </row>
    <row r="8" customFormat="false" ht="15" hidden="false" customHeight="false" outlineLevel="0" collapsed="false">
      <c r="A8" s="5" t="n">
        <v>41760</v>
      </c>
      <c r="B8" s="0" t="n">
        <v>2014</v>
      </c>
      <c r="C8" s="0" t="n">
        <v>1814</v>
      </c>
      <c r="D8" s="0" t="n">
        <v>154</v>
      </c>
      <c r="E8" s="0" t="n">
        <v>38291</v>
      </c>
      <c r="F8" s="6" t="n">
        <f aca="false">C8/E8</f>
        <v>0.0473740565668173</v>
      </c>
      <c r="G8" s="0" t="n">
        <v>356841</v>
      </c>
      <c r="H8" s="6" t="n">
        <f aca="false">C8/G8</f>
        <v>0.00508349657130206</v>
      </c>
    </row>
    <row r="9" customFormat="false" ht="15" hidden="false" customHeight="false" outlineLevel="0" collapsed="false">
      <c r="A9" s="5" t="n">
        <v>41791</v>
      </c>
      <c r="B9" s="0" t="n">
        <v>2014</v>
      </c>
      <c r="C9" s="0" t="n">
        <v>1747</v>
      </c>
      <c r="D9" s="0" t="n">
        <v>151</v>
      </c>
      <c r="E9" s="0" t="n">
        <v>39271</v>
      </c>
      <c r="F9" s="6" t="n">
        <f aca="false">C9/E9</f>
        <v>0.0444857528456113</v>
      </c>
      <c r="G9" s="0" t="n">
        <v>360030</v>
      </c>
      <c r="H9" s="6" t="n">
        <f aca="false">C9/G9</f>
        <v>0.00485237341332667</v>
      </c>
    </row>
    <row r="10" customFormat="false" ht="15" hidden="false" customHeight="false" outlineLevel="0" collapsed="false">
      <c r="A10" s="5" t="n">
        <v>41821</v>
      </c>
      <c r="B10" s="0" t="n">
        <v>2014</v>
      </c>
      <c r="C10" s="0" t="n">
        <v>1786</v>
      </c>
      <c r="D10" s="0" t="n">
        <v>154</v>
      </c>
      <c r="E10" s="0" t="n">
        <v>38962</v>
      </c>
      <c r="F10" s="6" t="n">
        <f aca="false">C10/E10</f>
        <v>0.045839535958113</v>
      </c>
      <c r="G10" s="0" t="n">
        <v>359951</v>
      </c>
      <c r="H10" s="6" t="n">
        <f aca="false">C10/G10</f>
        <v>0.00496178646538001</v>
      </c>
    </row>
    <row r="11" customFormat="false" ht="15" hidden="false" customHeight="false" outlineLevel="0" collapsed="false">
      <c r="A11" s="5" t="n">
        <v>41852</v>
      </c>
      <c r="B11" s="0" t="n">
        <v>2014</v>
      </c>
      <c r="C11" s="0" t="n">
        <v>1962</v>
      </c>
      <c r="D11" s="0" t="n">
        <v>170</v>
      </c>
      <c r="E11" s="0" t="n">
        <v>39245</v>
      </c>
      <c r="F11" s="6" t="n">
        <f aca="false">C11/E11</f>
        <v>0.0499936297617531</v>
      </c>
      <c r="G11" s="0" t="n">
        <v>360732</v>
      </c>
      <c r="H11" s="6" t="n">
        <f aca="false">C11/G11</f>
        <v>0.00543894082033199</v>
      </c>
    </row>
    <row r="12" customFormat="false" ht="15" hidden="false" customHeight="false" outlineLevel="0" collapsed="false">
      <c r="A12" s="5" t="n">
        <v>41883</v>
      </c>
      <c r="B12" s="0" t="n">
        <v>2014</v>
      </c>
      <c r="C12" s="0" t="n">
        <v>1922</v>
      </c>
      <c r="D12" s="0" t="n">
        <v>171</v>
      </c>
      <c r="E12" s="0" t="n">
        <v>40699</v>
      </c>
      <c r="F12" s="6" t="n">
        <f aca="false">C12/E12</f>
        <v>0.0472247475367945</v>
      </c>
      <c r="G12" s="0" t="n">
        <v>363100</v>
      </c>
      <c r="H12" s="6" t="n">
        <f aca="false">C12/G12</f>
        <v>0.00529330762875241</v>
      </c>
    </row>
    <row r="13" customFormat="false" ht="15" hidden="false" customHeight="false" outlineLevel="0" collapsed="false">
      <c r="A13" s="5" t="n">
        <v>41913</v>
      </c>
      <c r="B13" s="0" t="n">
        <v>2014</v>
      </c>
      <c r="C13" s="0" t="n">
        <v>1826</v>
      </c>
      <c r="D13" s="0" t="n">
        <v>162</v>
      </c>
      <c r="E13" s="0" t="n">
        <v>41513</v>
      </c>
      <c r="F13" s="6" t="n">
        <f aca="false">C13/E13</f>
        <v>0.0439862211837256</v>
      </c>
      <c r="G13" s="0" t="n">
        <v>373536</v>
      </c>
      <c r="H13" s="6" t="n">
        <f aca="false">C13/G13</f>
        <v>0.00488841771609698</v>
      </c>
    </row>
    <row r="14" customFormat="false" ht="15" hidden="false" customHeight="false" outlineLevel="0" collapsed="false">
      <c r="A14" s="5" t="n">
        <v>41944</v>
      </c>
      <c r="B14" s="0" t="n">
        <v>2014</v>
      </c>
      <c r="C14" s="0" t="n">
        <v>1952</v>
      </c>
      <c r="D14" s="0" t="n">
        <v>166</v>
      </c>
      <c r="E14" s="0" t="n">
        <v>40546</v>
      </c>
      <c r="F14" s="6" t="n">
        <f aca="false">C14/E14</f>
        <v>0.048142850096187</v>
      </c>
      <c r="G14" s="0" t="n">
        <v>373100</v>
      </c>
      <c r="H14" s="6" t="n">
        <f aca="false">C14/G14</f>
        <v>0.00523184132940231</v>
      </c>
    </row>
    <row r="15" customFormat="false" ht="15" hidden="false" customHeight="false" outlineLevel="0" collapsed="false">
      <c r="A15" s="5" t="n">
        <v>41974</v>
      </c>
      <c r="B15" s="0" t="n">
        <v>2014</v>
      </c>
      <c r="C15" s="0" t="n">
        <v>1659</v>
      </c>
      <c r="D15" s="0" t="n">
        <v>134</v>
      </c>
      <c r="E15" s="0" t="n">
        <v>41829</v>
      </c>
      <c r="F15" s="6" t="n">
        <f aca="false">C15/E15</f>
        <v>0.0396614788782902</v>
      </c>
      <c r="G15" s="0" t="n">
        <v>370648</v>
      </c>
      <c r="H15" s="6" t="n">
        <f aca="false">C15/G15</f>
        <v>0.00447594483175412</v>
      </c>
    </row>
    <row r="16" customFormat="false" ht="15" hidden="false" customHeight="false" outlineLevel="0" collapsed="false">
      <c r="A16" s="5" t="n">
        <v>42005</v>
      </c>
      <c r="B16" s="0" t="n">
        <v>2015</v>
      </c>
      <c r="C16" s="0" t="n">
        <v>1921</v>
      </c>
      <c r="D16" s="0" t="n">
        <v>146</v>
      </c>
      <c r="E16" s="0" t="n">
        <v>42861</v>
      </c>
      <c r="F16" s="6" t="n">
        <f aca="false">C16/E16</f>
        <v>0.0448192995963697</v>
      </c>
      <c r="G16" s="0" t="n">
        <v>374782</v>
      </c>
      <c r="H16" s="6" t="n">
        <f aca="false">C16/G16</f>
        <v>0.00512564637575978</v>
      </c>
    </row>
    <row r="17" customFormat="false" ht="15" hidden="false" customHeight="false" outlineLevel="0" collapsed="false">
      <c r="A17" s="5" t="n">
        <v>42036</v>
      </c>
      <c r="B17" s="0" t="n">
        <v>2015</v>
      </c>
      <c r="C17" s="0" t="n">
        <v>1934</v>
      </c>
      <c r="D17" s="0" t="n">
        <v>146</v>
      </c>
      <c r="E17" s="0" t="n">
        <v>43717</v>
      </c>
      <c r="F17" s="6" t="n">
        <f aca="false">C17/E17</f>
        <v>0.0442390831941808</v>
      </c>
      <c r="G17" s="0" t="n">
        <v>382163</v>
      </c>
      <c r="H17" s="6" t="n">
        <f aca="false">C17/G17</f>
        <v>0.00506066783021904</v>
      </c>
    </row>
    <row r="18" customFormat="false" ht="15" hidden="false" customHeight="false" outlineLevel="0" collapsed="false">
      <c r="A18" s="5" t="n">
        <v>42064</v>
      </c>
      <c r="B18" s="0" t="n">
        <v>2015</v>
      </c>
      <c r="C18" s="0" t="n">
        <v>2136</v>
      </c>
      <c r="D18" s="0" t="n">
        <v>170</v>
      </c>
      <c r="E18" s="0" t="n">
        <v>44805</v>
      </c>
      <c r="F18" s="6" t="n">
        <f aca="false">C18/E18</f>
        <v>0.0476732507532641</v>
      </c>
      <c r="G18" s="0" t="n">
        <v>393447</v>
      </c>
      <c r="H18" s="6" t="n">
        <f aca="false">C18/G18</f>
        <v>0.00542893960304692</v>
      </c>
    </row>
    <row r="19" customFormat="false" ht="15" hidden="false" customHeight="false" outlineLevel="0" collapsed="false">
      <c r="A19" s="5" t="n">
        <v>42095</v>
      </c>
      <c r="B19" s="0" t="n">
        <v>2015</v>
      </c>
      <c r="C19" s="0" t="n">
        <v>2308</v>
      </c>
      <c r="D19" s="0" t="n">
        <v>189</v>
      </c>
      <c r="E19" s="0" t="n">
        <v>46409</v>
      </c>
      <c r="F19" s="6" t="n">
        <f aca="false">C19/E19</f>
        <v>0.0497317330690168</v>
      </c>
      <c r="G19" s="0" t="n">
        <v>407690</v>
      </c>
      <c r="H19" s="6" t="n">
        <f aca="false">C19/G19</f>
        <v>0.00566116411979691</v>
      </c>
    </row>
    <row r="20" customFormat="false" ht="15" hidden="false" customHeight="false" outlineLevel="0" collapsed="false">
      <c r="A20" s="5" t="n">
        <v>42125</v>
      </c>
      <c r="B20" s="0" t="n">
        <v>2015</v>
      </c>
      <c r="C20" s="0" t="n">
        <v>3343</v>
      </c>
      <c r="D20" s="0" t="n">
        <v>283</v>
      </c>
      <c r="E20" s="0" t="n">
        <v>49359</v>
      </c>
      <c r="F20" s="6" t="n">
        <f aca="false">C20/E20</f>
        <v>0.0677282765047914</v>
      </c>
      <c r="G20" s="0" t="n">
        <v>418064</v>
      </c>
      <c r="H20" s="6" t="n">
        <f aca="false">C20/G20</f>
        <v>0.00799638332886831</v>
      </c>
    </row>
    <row r="21" customFormat="false" ht="15" hidden="false" customHeight="false" outlineLevel="0" collapsed="false">
      <c r="A21" s="5" t="n">
        <v>42156</v>
      </c>
      <c r="B21" s="0" t="n">
        <v>2015</v>
      </c>
      <c r="C21" s="0" t="n">
        <v>3930</v>
      </c>
      <c r="D21" s="0" t="n">
        <v>341</v>
      </c>
      <c r="E21" s="0" t="n">
        <v>52110</v>
      </c>
      <c r="F21" s="6" t="n">
        <f aca="false">C21/E21</f>
        <v>0.0754173862982153</v>
      </c>
      <c r="G21" s="0" t="n">
        <v>424797</v>
      </c>
      <c r="H21" s="6" t="n">
        <f aca="false">C21/G21</f>
        <v>0.00925147776467348</v>
      </c>
    </row>
    <row r="22" customFormat="false" ht="15" hidden="false" customHeight="false" outlineLevel="0" collapsed="false">
      <c r="A22" s="5" t="n">
        <v>42186</v>
      </c>
      <c r="B22" s="0" t="n">
        <v>2015</v>
      </c>
      <c r="C22" s="0" t="n">
        <v>2684</v>
      </c>
      <c r="D22" s="0" t="n">
        <v>231</v>
      </c>
      <c r="E22" s="0" t="n">
        <v>47544</v>
      </c>
      <c r="F22" s="6" t="n">
        <f aca="false">C22/E22</f>
        <v>0.0564529698805317</v>
      </c>
      <c r="G22" s="0" t="n">
        <v>414231</v>
      </c>
      <c r="H22" s="6" t="n">
        <f aca="false">C22/G22</f>
        <v>0.00647947642740403</v>
      </c>
    </row>
    <row r="23" customFormat="false" ht="15" hidden="false" customHeight="false" outlineLevel="0" collapsed="false">
      <c r="A23" s="5" t="n">
        <v>42217</v>
      </c>
      <c r="B23" s="0" t="n">
        <v>2015</v>
      </c>
      <c r="C23" s="0" t="n">
        <v>2837</v>
      </c>
      <c r="D23" s="0" t="n">
        <v>246</v>
      </c>
      <c r="E23" s="0" t="n">
        <v>49414</v>
      </c>
      <c r="F23" s="6" t="n">
        <f aca="false">C23/E23</f>
        <v>0.0574128789411908</v>
      </c>
      <c r="G23" s="0" t="n">
        <v>419103</v>
      </c>
      <c r="H23" s="6" t="n">
        <f aca="false">C23/G23</f>
        <v>0.00676921902253145</v>
      </c>
    </row>
    <row r="24" customFormat="false" ht="15" hidden="false" customHeight="false" outlineLevel="0" collapsed="false">
      <c r="A24" s="5" t="n">
        <v>42248</v>
      </c>
      <c r="B24" s="0" t="n">
        <v>2015</v>
      </c>
      <c r="C24" s="0" t="n">
        <v>2800</v>
      </c>
      <c r="D24" s="0" t="n">
        <v>249</v>
      </c>
      <c r="E24" s="0" t="n">
        <v>48798</v>
      </c>
      <c r="F24" s="6" t="n">
        <f aca="false">C24/E24</f>
        <v>0.0573794007951146</v>
      </c>
      <c r="G24" s="0" t="n">
        <v>416898</v>
      </c>
      <c r="H24" s="6" t="n">
        <f aca="false">C24/G24</f>
        <v>0.0067162711262707</v>
      </c>
    </row>
    <row r="25" customFormat="false" ht="15" hidden="false" customHeight="false" outlineLevel="0" collapsed="false">
      <c r="A25" s="5" t="n">
        <v>42278</v>
      </c>
      <c r="B25" s="0" t="n">
        <v>2015</v>
      </c>
      <c r="C25" s="0" t="n">
        <v>2754</v>
      </c>
      <c r="D25" s="0" t="n">
        <v>243</v>
      </c>
      <c r="E25" s="0" t="n">
        <v>48159</v>
      </c>
      <c r="F25" s="6" t="n">
        <f aca="false">C25/E25</f>
        <v>0.0571855727901327</v>
      </c>
      <c r="G25" s="0" t="n">
        <v>411466</v>
      </c>
      <c r="H25" s="6" t="n">
        <f aca="false">C25/G25</f>
        <v>0.00669314111007957</v>
      </c>
    </row>
    <row r="26" customFormat="false" ht="15" hidden="false" customHeight="false" outlineLevel="0" collapsed="false">
      <c r="A26" s="5" t="n">
        <v>42309</v>
      </c>
      <c r="B26" s="0" t="n">
        <v>2015</v>
      </c>
      <c r="C26" s="0" t="n">
        <v>2975</v>
      </c>
      <c r="D26" s="0" t="n">
        <v>252</v>
      </c>
      <c r="E26" s="0" t="n">
        <v>50424</v>
      </c>
      <c r="F26" s="6" t="n">
        <f aca="false">C26/E26</f>
        <v>0.0589996826907822</v>
      </c>
      <c r="G26" s="0" t="n">
        <v>410953</v>
      </c>
      <c r="H26" s="6" t="n">
        <f aca="false">C26/G26</f>
        <v>0.0072392706708553</v>
      </c>
    </row>
    <row r="27" customFormat="false" ht="15" hidden="false" customHeight="false" outlineLevel="0" collapsed="false">
      <c r="A27" s="5" t="n">
        <v>42339</v>
      </c>
      <c r="B27" s="0" t="n">
        <v>2015</v>
      </c>
      <c r="C27" s="0" t="n">
        <v>3094</v>
      </c>
      <c r="D27" s="0" t="n">
        <v>249</v>
      </c>
      <c r="E27" s="0" t="n">
        <v>49894</v>
      </c>
      <c r="F27" s="6" t="n">
        <f aca="false">C27/E27</f>
        <v>0.0620114643043252</v>
      </c>
      <c r="G27" s="0" t="n">
        <v>405378</v>
      </c>
      <c r="H27" s="6" t="n">
        <f aca="false">C27/G27</f>
        <v>0.00763238261573149</v>
      </c>
    </row>
    <row r="28" customFormat="false" ht="15" hidden="false" customHeight="false" outlineLevel="0" collapsed="false">
      <c r="A28" s="5" t="n">
        <v>42370</v>
      </c>
      <c r="B28" s="0" t="n">
        <v>2016</v>
      </c>
      <c r="C28" s="0" t="n">
        <v>3155</v>
      </c>
      <c r="D28" s="0" t="n">
        <v>241</v>
      </c>
      <c r="E28" s="0" t="n">
        <v>50683</v>
      </c>
      <c r="F28" s="6" t="n">
        <f aca="false">C28/E28</f>
        <v>0.0622496695144328</v>
      </c>
      <c r="G28" s="0" t="n">
        <v>401068</v>
      </c>
      <c r="H28" s="6" t="n">
        <f aca="false">C28/G28</f>
        <v>0.00786649645446657</v>
      </c>
    </row>
    <row r="29" customFormat="false" ht="15" hidden="false" customHeight="false" outlineLevel="0" collapsed="false">
      <c r="A29" s="5" t="n">
        <v>42401</v>
      </c>
      <c r="B29" s="0" t="n">
        <v>2016</v>
      </c>
      <c r="C29" s="0" t="n">
        <v>3798</v>
      </c>
      <c r="D29" s="0" t="n">
        <v>288</v>
      </c>
      <c r="E29" s="0" t="n">
        <v>54829</v>
      </c>
      <c r="F29" s="6" t="n">
        <f aca="false">C29/E29</f>
        <v>0.0692699119079319</v>
      </c>
      <c r="G29" s="0" t="n">
        <v>409310</v>
      </c>
      <c r="H29" s="6" t="n">
        <f aca="false">C29/G29</f>
        <v>0.00927903056363148</v>
      </c>
    </row>
    <row r="30" customFormat="false" ht="15" hidden="false" customHeight="false" outlineLevel="0" collapsed="false">
      <c r="A30" s="5" t="n">
        <v>42430</v>
      </c>
      <c r="B30" s="0" t="n">
        <v>2016</v>
      </c>
      <c r="C30" s="0" t="n">
        <v>4118</v>
      </c>
      <c r="D30" s="0" t="n">
        <v>328</v>
      </c>
      <c r="E30" s="0" t="n">
        <v>55474</v>
      </c>
      <c r="F30" s="6" t="n">
        <f aca="false">C30/E30</f>
        <v>0.0742329740058406</v>
      </c>
      <c r="G30" s="0" t="n">
        <v>419150</v>
      </c>
      <c r="H30" s="6" t="n">
        <f aca="false">C30/G30</f>
        <v>0.00982464511511392</v>
      </c>
    </row>
    <row r="31" customFormat="false" ht="15" hidden="false" customHeight="false" outlineLevel="0" collapsed="false">
      <c r="A31" s="5" t="n">
        <v>42461</v>
      </c>
      <c r="B31" s="0" t="n">
        <v>2016</v>
      </c>
      <c r="C31" s="0" t="n">
        <v>4415</v>
      </c>
      <c r="D31" s="0" t="n">
        <v>363</v>
      </c>
      <c r="E31" s="0" t="n">
        <v>57365</v>
      </c>
      <c r="F31" s="6" t="n">
        <f aca="false">C31/E31</f>
        <v>0.0769633051512246</v>
      </c>
      <c r="G31" s="0" t="n">
        <v>422929</v>
      </c>
      <c r="H31" s="6" t="n">
        <f aca="false">C31/G31</f>
        <v>0.0104391044359692</v>
      </c>
    </row>
    <row r="32" customFormat="false" ht="15" hidden="false" customHeight="false" outlineLevel="0" collapsed="false">
      <c r="A32" s="5" t="n">
        <v>42491</v>
      </c>
      <c r="B32" s="0" t="n">
        <v>2016</v>
      </c>
      <c r="C32" s="0" t="n">
        <v>4150</v>
      </c>
      <c r="D32" s="0" t="n">
        <v>352</v>
      </c>
      <c r="E32" s="0" t="n">
        <v>57176</v>
      </c>
      <c r="F32" s="6" t="n">
        <f aca="false">C32/E32</f>
        <v>0.0725829019168882</v>
      </c>
      <c r="G32" s="0" t="n">
        <v>430910</v>
      </c>
      <c r="H32" s="6" t="n">
        <f aca="false">C32/G32</f>
        <v>0.00963078136965956</v>
      </c>
    </row>
    <row r="33" customFormat="false" ht="15" hidden="false" customHeight="false" outlineLevel="0" collapsed="false">
      <c r="A33" s="5" t="n">
        <v>42522</v>
      </c>
      <c r="B33" s="0" t="n">
        <v>2016</v>
      </c>
      <c r="C33" s="0" t="n">
        <v>4555</v>
      </c>
      <c r="D33" s="0" t="n">
        <v>395</v>
      </c>
      <c r="E33" s="0" t="n">
        <v>60032</v>
      </c>
      <c r="F33" s="6" t="n">
        <f aca="false">C33/E33</f>
        <v>0.0758761993603412</v>
      </c>
      <c r="G33" s="0" t="n">
        <v>441636</v>
      </c>
      <c r="H33" s="6" t="n">
        <f aca="false">C33/G33</f>
        <v>0.0103139236837577</v>
      </c>
    </row>
    <row r="34" customFormat="false" ht="15" hidden="false" customHeight="false" outlineLevel="0" collapsed="false">
      <c r="A34" s="5" t="n">
        <v>42552</v>
      </c>
      <c r="B34" s="0" t="n">
        <v>2016</v>
      </c>
      <c r="C34" s="0" t="n">
        <v>4247</v>
      </c>
      <c r="D34" s="0" t="n">
        <v>367</v>
      </c>
      <c r="E34" s="0" t="n">
        <v>61422</v>
      </c>
      <c r="F34" s="6" t="n">
        <f aca="false">C34/E34</f>
        <v>0.0691446061671714</v>
      </c>
      <c r="G34" s="0" t="n">
        <v>445429</v>
      </c>
      <c r="H34" s="6" t="n">
        <f aca="false">C34/G34</f>
        <v>0.00953462841440499</v>
      </c>
    </row>
    <row r="35" customFormat="false" ht="15" hidden="false" customHeight="false" outlineLevel="0" collapsed="false">
      <c r="A35" s="5" t="n">
        <v>42583</v>
      </c>
      <c r="B35" s="0" t="n">
        <v>2016</v>
      </c>
      <c r="C35" s="0" t="n">
        <v>4581</v>
      </c>
      <c r="D35" s="0" t="n">
        <v>397</v>
      </c>
      <c r="E35" s="0" t="n">
        <v>62814</v>
      </c>
      <c r="F35" s="6" t="n">
        <f aca="false">C35/E35</f>
        <v>0.0729296016811539</v>
      </c>
      <c r="G35" s="0" t="n">
        <v>448016</v>
      </c>
      <c r="H35" s="6" t="n">
        <f aca="false">C35/G35</f>
        <v>0.0102250812470983</v>
      </c>
    </row>
    <row r="36" customFormat="false" ht="15" hidden="false" customHeight="false" outlineLevel="0" collapsed="false">
      <c r="A36" s="5" t="n">
        <v>42614</v>
      </c>
      <c r="B36" s="0" t="n">
        <v>2016</v>
      </c>
      <c r="C36" s="0" t="n">
        <v>4220</v>
      </c>
      <c r="D36" s="0" t="n">
        <v>373</v>
      </c>
      <c r="E36" s="0" t="n">
        <v>63241</v>
      </c>
      <c r="F36" s="6" t="n">
        <f aca="false">C36/E36</f>
        <v>0.0667288626049556</v>
      </c>
      <c r="G36" s="0" t="n">
        <v>451562</v>
      </c>
      <c r="H36" s="6" t="n">
        <f aca="false">C36/G36</f>
        <v>0.00934533906750347</v>
      </c>
    </row>
    <row r="37" customFormat="false" ht="15" hidden="false" customHeight="false" outlineLevel="0" collapsed="false">
      <c r="A37" s="5" t="n">
        <v>42644</v>
      </c>
      <c r="B37" s="0" t="n">
        <v>2016</v>
      </c>
      <c r="C37" s="0" t="n">
        <v>3703</v>
      </c>
      <c r="D37" s="0" t="n">
        <v>325</v>
      </c>
      <c r="E37" s="0" t="n">
        <v>63377</v>
      </c>
      <c r="F37" s="6" t="n">
        <f aca="false">C37/E37</f>
        <v>0.0584281363901731</v>
      </c>
      <c r="G37" s="0" t="n">
        <v>446695</v>
      </c>
      <c r="H37" s="6" t="n">
        <f aca="false">C37/G37</f>
        <v>0.00828977266367432</v>
      </c>
    </row>
    <row r="38" customFormat="false" ht="15" hidden="false" customHeight="false" outlineLevel="0" collapsed="false">
      <c r="A38" s="5" t="n">
        <v>42675</v>
      </c>
      <c r="B38" s="0" t="n">
        <v>2016</v>
      </c>
      <c r="C38" s="0" t="n">
        <v>3956</v>
      </c>
      <c r="D38" s="0" t="n">
        <v>335</v>
      </c>
      <c r="E38" s="0" t="n">
        <v>65110</v>
      </c>
      <c r="F38" s="6" t="n">
        <f aca="false">C38/E38</f>
        <v>0.0607587160190447</v>
      </c>
      <c r="G38" s="0" t="n">
        <v>458428</v>
      </c>
      <c r="H38" s="6" t="n">
        <f aca="false">C38/G38</f>
        <v>0.00862949034526687</v>
      </c>
    </row>
    <row r="39" customFormat="false" ht="15" hidden="false" customHeight="false" outlineLevel="0" collapsed="false">
      <c r="A39" s="5" t="n">
        <v>42705</v>
      </c>
      <c r="B39" s="0" t="n">
        <v>2016</v>
      </c>
      <c r="C39" s="0" t="n">
        <v>4464</v>
      </c>
      <c r="D39" s="0" t="n">
        <v>357</v>
      </c>
      <c r="E39" s="0" t="n">
        <v>64316</v>
      </c>
      <c r="F39" s="6" t="n">
        <f aca="false">C39/E39</f>
        <v>0.0694073014490951</v>
      </c>
      <c r="G39" s="0" t="n">
        <v>461342</v>
      </c>
      <c r="H39" s="6" t="n">
        <f aca="false">C39/G39</f>
        <v>0.00967611880123639</v>
      </c>
    </row>
    <row r="40" customFormat="false" ht="15" hidden="false" customHeight="false" outlineLevel="0" collapsed="false">
      <c r="A40" s="5" t="n">
        <v>42736</v>
      </c>
      <c r="B40" s="0" t="n">
        <v>2017</v>
      </c>
      <c r="C40" s="0" t="n">
        <v>3988</v>
      </c>
      <c r="D40" s="0" t="n">
        <v>303</v>
      </c>
      <c r="E40" s="0" t="n">
        <v>62978</v>
      </c>
      <c r="F40" s="6" t="n">
        <f aca="false">C40/E40</f>
        <v>0.0633237003398012</v>
      </c>
      <c r="G40" s="0" t="n">
        <v>456263</v>
      </c>
      <c r="H40" s="6" t="n">
        <f aca="false">C40/G40</f>
        <v>0.00874057287134832</v>
      </c>
    </row>
    <row r="41" customFormat="false" ht="15" hidden="false" customHeight="false" outlineLevel="0" collapsed="false">
      <c r="A41" s="5" t="n">
        <v>42767</v>
      </c>
      <c r="B41" s="0" t="n">
        <v>2017</v>
      </c>
      <c r="C41" s="0" t="n">
        <v>4216</v>
      </c>
      <c r="D41" s="0" t="n">
        <v>322</v>
      </c>
      <c r="E41" s="0" t="n">
        <v>60356</v>
      </c>
      <c r="F41" s="6" t="n">
        <f aca="false">C41/E41</f>
        <v>0.0698522102193651</v>
      </c>
      <c r="G41" s="0" t="n">
        <v>448275</v>
      </c>
      <c r="H41" s="6" t="n">
        <f aca="false">C41/G41</f>
        <v>0.00940494116334839</v>
      </c>
    </row>
    <row r="42" customFormat="false" ht="15" hidden="false" customHeight="false" outlineLevel="0" collapsed="false">
      <c r="A42" s="5" t="n">
        <v>42795</v>
      </c>
      <c r="B42" s="0" t="n">
        <v>2017</v>
      </c>
      <c r="C42" s="0" t="n">
        <v>3990</v>
      </c>
      <c r="D42" s="0" t="n">
        <v>316</v>
      </c>
      <c r="E42" s="0" t="n">
        <v>60197</v>
      </c>
      <c r="F42" s="6" t="n">
        <f aca="false">C42/E42</f>
        <v>0.0662823728757247</v>
      </c>
      <c r="G42" s="0" t="n">
        <v>448733</v>
      </c>
      <c r="H42" s="6" t="n">
        <f aca="false">C42/G42</f>
        <v>0.00889170174691855</v>
      </c>
    </row>
    <row r="43" customFormat="false" ht="15" hidden="false" customHeight="false" outlineLevel="0" collapsed="false">
      <c r="A43" s="5" t="n">
        <v>42826</v>
      </c>
      <c r="B43" s="0" t="n">
        <v>2017</v>
      </c>
      <c r="C43" s="0" t="n">
        <v>4233</v>
      </c>
      <c r="D43" s="0" t="n">
        <v>354</v>
      </c>
      <c r="E43" s="0" t="n">
        <v>60376</v>
      </c>
      <c r="F43" s="6" t="n">
        <f aca="false">C43/E43</f>
        <v>0.0701106399893998</v>
      </c>
      <c r="G43" s="0" t="n">
        <v>445581</v>
      </c>
      <c r="H43" s="6" t="n">
        <f aca="false">C43/G43</f>
        <v>0.00949995623691315</v>
      </c>
    </row>
    <row r="44" customFormat="false" ht="15" hidden="false" customHeight="false" outlineLevel="0" collapsed="false">
      <c r="A44" s="5" t="n">
        <v>42856</v>
      </c>
      <c r="B44" s="0" t="n">
        <v>2017</v>
      </c>
      <c r="C44" s="0" t="n">
        <v>5032</v>
      </c>
      <c r="D44" s="0" t="n">
        <v>441</v>
      </c>
      <c r="E44" s="0" t="n">
        <v>59565</v>
      </c>
      <c r="F44" s="6" t="n">
        <f aca="false">C44/E44</f>
        <v>0.0844791404348191</v>
      </c>
      <c r="G44" s="0" t="n">
        <v>448120</v>
      </c>
      <c r="H44" s="6" t="n">
        <f aca="false">C44/G44</f>
        <v>0.0112291350531108</v>
      </c>
    </row>
    <row r="45" customFormat="false" ht="15" hidden="false" customHeight="false" outlineLevel="0" collapsed="false">
      <c r="A45" s="5" t="n">
        <v>42887</v>
      </c>
      <c r="B45" s="0" t="n">
        <v>2017</v>
      </c>
      <c r="C45" s="0" t="n">
        <v>4577</v>
      </c>
      <c r="D45" s="0" t="n">
        <v>410</v>
      </c>
      <c r="E45" s="0" t="n">
        <v>60209</v>
      </c>
      <c r="F45" s="6" t="n">
        <f aca="false">C45/E45</f>
        <v>0.0760185354349018</v>
      </c>
      <c r="G45" s="0" t="n">
        <v>445269</v>
      </c>
      <c r="H45" s="6" t="n">
        <f aca="false">C45/G45</f>
        <v>0.0102791795521359</v>
      </c>
    </row>
    <row r="46" customFormat="false" ht="15" hidden="false" customHeight="false" outlineLevel="0" collapsed="false">
      <c r="A46" s="5" t="n">
        <v>42917</v>
      </c>
      <c r="B46" s="0" t="n">
        <v>2017</v>
      </c>
      <c r="C46" s="0" t="n">
        <v>4665</v>
      </c>
      <c r="D46" s="0" t="n">
        <v>409</v>
      </c>
      <c r="E46" s="0" t="n">
        <v>58627</v>
      </c>
      <c r="F46" s="6" t="n">
        <f aca="false">C46/E46</f>
        <v>0.0795708461971447</v>
      </c>
      <c r="G46" s="0" t="n">
        <v>438327</v>
      </c>
      <c r="H46" s="6" t="n">
        <f aca="false">C46/G46</f>
        <v>0.0106427393247507</v>
      </c>
    </row>
    <row r="47" customFormat="false" ht="15" hidden="false" customHeight="false" outlineLevel="0" collapsed="false">
      <c r="A47" s="5" t="n">
        <v>42948</v>
      </c>
      <c r="B47" s="0" t="n">
        <v>2017</v>
      </c>
      <c r="C47" s="0" t="n">
        <v>4393</v>
      </c>
      <c r="D47" s="0" t="n">
        <v>387</v>
      </c>
      <c r="E47" s="0" t="n">
        <v>57421</v>
      </c>
      <c r="F47" s="6" t="n">
        <f aca="false">C47/E47</f>
        <v>0.0765051113704046</v>
      </c>
      <c r="G47" s="0" t="n">
        <v>437042</v>
      </c>
      <c r="H47" s="6" t="n">
        <f aca="false">C47/G47</f>
        <v>0.0100516655149848</v>
      </c>
    </row>
    <row r="48" customFormat="false" ht="15" hidden="false" customHeight="false" outlineLevel="0" collapsed="false">
      <c r="A48" s="5" t="n">
        <v>42979</v>
      </c>
      <c r="B48" s="0" t="n">
        <v>2017</v>
      </c>
      <c r="C48" s="0" t="n">
        <v>4686</v>
      </c>
      <c r="D48" s="0" t="n">
        <v>416</v>
      </c>
      <c r="E48" s="0" t="n">
        <v>58071</v>
      </c>
      <c r="F48" s="6" t="n">
        <f aca="false">C48/E48</f>
        <v>0.0806943224673245</v>
      </c>
      <c r="G48" s="0" t="n">
        <v>439632</v>
      </c>
      <c r="H48" s="6" t="n">
        <f aca="false">C48/G48</f>
        <v>0.0106589147286822</v>
      </c>
    </row>
    <row r="49" customFormat="false" ht="15" hidden="false" customHeight="false" outlineLevel="0" collapsed="false">
      <c r="A49" s="5" t="n">
        <v>43009</v>
      </c>
      <c r="B49" s="0" t="n">
        <v>2017</v>
      </c>
      <c r="C49" s="0" t="n">
        <v>4963</v>
      </c>
      <c r="D49" s="0" t="n">
        <v>407</v>
      </c>
      <c r="E49" s="0" t="n">
        <v>59408</v>
      </c>
      <c r="F49" s="6" t="n">
        <f aca="false">C49/E49</f>
        <v>0.0835409372475088</v>
      </c>
      <c r="G49" s="0" t="n">
        <v>442384</v>
      </c>
      <c r="H49" s="6" t="n">
        <f aca="false">C49/G49</f>
        <v>0.0112187601721581</v>
      </c>
    </row>
    <row r="50" customFormat="false" ht="15" hidden="false" customHeight="false" outlineLevel="0" collapsed="false">
      <c r="A50" s="5" t="n">
        <v>43040</v>
      </c>
      <c r="B50" s="0" t="n">
        <v>2017</v>
      </c>
      <c r="C50" s="0" t="n">
        <v>5460</v>
      </c>
      <c r="D50" s="0" t="n">
        <v>441</v>
      </c>
      <c r="E50" s="0" t="n">
        <v>61116</v>
      </c>
      <c r="F50" s="6" t="n">
        <f aca="false">C50/E50</f>
        <v>0.0893383074808561</v>
      </c>
      <c r="G50" s="0" t="n">
        <v>441660</v>
      </c>
      <c r="H50" s="6" t="n">
        <f aca="false">C50/G50</f>
        <v>0.0123624507539736</v>
      </c>
    </row>
    <row r="51" customFormat="false" ht="15" hidden="false" customHeight="false" outlineLevel="0" collapsed="false">
      <c r="A51" s="5" t="n">
        <v>43070</v>
      </c>
      <c r="B51" s="0" t="n">
        <v>2017</v>
      </c>
      <c r="C51" s="0" t="n">
        <v>5739</v>
      </c>
      <c r="D51" s="0" t="n">
        <v>461</v>
      </c>
      <c r="E51" s="0" t="n">
        <v>62243</v>
      </c>
      <c r="F51" s="6" t="n">
        <f aca="false">C51/E51</f>
        <v>0.0922031393088379</v>
      </c>
      <c r="G51" s="0" t="n">
        <v>447363</v>
      </c>
      <c r="H51" s="6" t="n">
        <f aca="false">C51/G51</f>
        <v>0.0128285083925135</v>
      </c>
    </row>
    <row r="52" customFormat="false" ht="15" hidden="false" customHeight="false" outlineLevel="0" collapsed="false">
      <c r="A52" s="5" t="n">
        <v>43101</v>
      </c>
      <c r="B52" s="0" t="n">
        <v>2018</v>
      </c>
      <c r="C52" s="0" t="n">
        <v>6078</v>
      </c>
      <c r="D52" s="0" t="n">
        <v>462</v>
      </c>
      <c r="E52" s="0" t="n">
        <v>61953</v>
      </c>
      <c r="F52" s="6" t="n">
        <f aca="false">C52/E52</f>
        <v>0.098106629218924</v>
      </c>
      <c r="G52" s="0" t="n">
        <v>466488</v>
      </c>
      <c r="H52" s="6" t="n">
        <f aca="false">C52/G52</f>
        <v>0.0130292740649277</v>
      </c>
    </row>
    <row r="53" customFormat="false" ht="15" hidden="false" customHeight="false" outlineLevel="0" collapsed="false">
      <c r="A53" s="5" t="n">
        <v>43132</v>
      </c>
      <c r="B53" s="0" t="n">
        <v>2018</v>
      </c>
      <c r="C53" s="0" t="n">
        <v>6236</v>
      </c>
      <c r="D53" s="0" t="n">
        <v>476</v>
      </c>
      <c r="E53" s="0" t="n">
        <v>64524</v>
      </c>
      <c r="F53" s="6" t="n">
        <f aca="false">C53/E53</f>
        <v>0.0966462091624822</v>
      </c>
      <c r="G53" s="0" t="n">
        <v>477743</v>
      </c>
      <c r="H53" s="6" t="n">
        <f aca="false">C53/G53</f>
        <v>0.0130530431633745</v>
      </c>
    </row>
    <row r="54" customFormat="false" ht="15" hidden="false" customHeight="false" outlineLevel="0" collapsed="false">
      <c r="A54" s="5" t="n">
        <v>43160</v>
      </c>
      <c r="B54" s="0" t="n">
        <v>2018</v>
      </c>
      <c r="C54" s="0" t="n">
        <v>6469</v>
      </c>
      <c r="D54" s="0" t="n">
        <v>515</v>
      </c>
      <c r="E54" s="0" t="n">
        <v>64060</v>
      </c>
      <c r="F54" s="6" t="n">
        <f aca="false">C54/E54</f>
        <v>0.100983453012801</v>
      </c>
      <c r="G54" s="0" t="n">
        <v>470243</v>
      </c>
      <c r="H54" s="6" t="n">
        <f aca="false">C54/G54</f>
        <v>0.0137567172717085</v>
      </c>
    </row>
    <row r="55" customFormat="false" ht="15" hidden="false" customHeight="false" outlineLevel="0" collapsed="false">
      <c r="A55" s="5" t="n">
        <v>43191</v>
      </c>
      <c r="B55" s="0" t="n">
        <v>2018</v>
      </c>
      <c r="C55" s="0" t="n">
        <v>6562</v>
      </c>
      <c r="D55" s="0" t="n">
        <v>541</v>
      </c>
      <c r="E55" s="0" t="n">
        <v>64539</v>
      </c>
      <c r="F55" s="6" t="n">
        <f aca="false">C55/E55</f>
        <v>0.101674956228017</v>
      </c>
      <c r="G55" s="0" t="n">
        <v>471306</v>
      </c>
      <c r="H55" s="6" t="n">
        <f aca="false">C55/G55</f>
        <v>0.0139230139230139</v>
      </c>
    </row>
    <row r="56" customFormat="false" ht="15" hidden="false" customHeight="false" outlineLevel="0" collapsed="false">
      <c r="A56" s="5" t="n">
        <v>43221</v>
      </c>
      <c r="B56" s="0" t="n">
        <v>2018</v>
      </c>
      <c r="C56" s="0" t="n">
        <v>6987</v>
      </c>
      <c r="D56" s="0" t="n">
        <v>620</v>
      </c>
      <c r="E56" s="0" t="n">
        <v>66837</v>
      </c>
      <c r="F56" s="6" t="n">
        <f aca="false">C56/E56</f>
        <v>0.104537905651062</v>
      </c>
      <c r="G56" s="0" t="n">
        <v>471771</v>
      </c>
      <c r="H56" s="6" t="n">
        <f aca="false">C56/G56</f>
        <v>0.0148101515353848</v>
      </c>
    </row>
    <row r="57" customFormat="false" ht="15" hidden="false" customHeight="false" outlineLevel="0" collapsed="false">
      <c r="A57" s="5" t="n">
        <v>43252</v>
      </c>
      <c r="B57" s="0" t="n">
        <v>2018</v>
      </c>
      <c r="C57" s="0" t="n">
        <v>7055</v>
      </c>
      <c r="D57" s="0" t="n">
        <v>639</v>
      </c>
      <c r="E57" s="0" t="n">
        <v>65598</v>
      </c>
      <c r="F57" s="6" t="n">
        <f aca="false">C57/E57</f>
        <v>0.107549010640568</v>
      </c>
      <c r="G57" s="0" t="n">
        <v>461364</v>
      </c>
      <c r="H57" s="6" t="n">
        <f aca="false">C57/G57</f>
        <v>0.0152916135632602</v>
      </c>
    </row>
    <row r="58" customFormat="false" ht="15" hidden="false" customHeight="false" outlineLevel="0" collapsed="false">
      <c r="A58" s="5" t="n">
        <v>43282</v>
      </c>
      <c r="B58" s="0" t="n">
        <v>2018</v>
      </c>
      <c r="C58" s="0" t="n">
        <v>7452</v>
      </c>
      <c r="D58" s="0" t="n">
        <v>654</v>
      </c>
      <c r="E58" s="0" t="n">
        <v>67061</v>
      </c>
      <c r="F58" s="6" t="n">
        <f aca="false">C58/E58</f>
        <v>0.111122709175229</v>
      </c>
      <c r="G58" s="0" t="n">
        <v>461241</v>
      </c>
      <c r="H58" s="6" t="n">
        <f aca="false">C58/G58</f>
        <v>0.0161564128080548</v>
      </c>
    </row>
    <row r="59" customFormat="false" ht="15" hidden="false" customHeight="false" outlineLevel="0" collapsed="false">
      <c r="A59" s="5" t="n">
        <v>43313</v>
      </c>
      <c r="B59" s="0" t="n">
        <v>2018</v>
      </c>
      <c r="C59" s="0" t="n">
        <v>7004</v>
      </c>
      <c r="D59" s="0" t="n">
        <v>604</v>
      </c>
      <c r="E59" s="0" t="n">
        <v>68707</v>
      </c>
      <c r="F59" s="6" t="n">
        <f aca="false">C59/E59</f>
        <v>0.101940122549376</v>
      </c>
      <c r="G59" s="0" t="n">
        <v>467238</v>
      </c>
      <c r="H59" s="6" t="n">
        <f aca="false">C59/G59</f>
        <v>0.0149902191174519</v>
      </c>
    </row>
    <row r="60" customFormat="false" ht="15" hidden="false" customHeight="false" outlineLevel="0" collapsed="false">
      <c r="A60" s="5" t="n">
        <v>43344</v>
      </c>
      <c r="B60" s="0" t="n">
        <v>2018</v>
      </c>
      <c r="C60" s="0" t="n">
        <v>6287</v>
      </c>
      <c r="D60" s="0" t="n">
        <v>553</v>
      </c>
      <c r="E60" s="0" t="n">
        <v>68540</v>
      </c>
      <c r="F60" s="6" t="n">
        <f aca="false">C60/E60</f>
        <v>0.0917274584184418</v>
      </c>
      <c r="G60" s="0" t="n">
        <v>463480</v>
      </c>
      <c r="H60" s="6" t="n">
        <f aca="false">C60/G60</f>
        <v>0.0135647708638992</v>
      </c>
    </row>
    <row r="61" customFormat="false" ht="15" hidden="false" customHeight="false" outlineLevel="0" collapsed="false">
      <c r="A61" s="5" t="n">
        <v>43374</v>
      </c>
      <c r="B61" s="0" t="n">
        <v>2018</v>
      </c>
      <c r="C61" s="0" t="n">
        <v>7864</v>
      </c>
      <c r="D61" s="0" t="n">
        <v>648</v>
      </c>
      <c r="E61" s="0" t="n">
        <v>70796</v>
      </c>
      <c r="F61" s="6" t="n">
        <f aca="false">C61/E61</f>
        <v>0.111079722018193</v>
      </c>
      <c r="G61" s="0" t="n">
        <v>463215</v>
      </c>
      <c r="H61" s="6" t="n">
        <f aca="false">C61/G61</f>
        <v>0.0169769977224399</v>
      </c>
    </row>
    <row r="62" customFormat="false" ht="15" hidden="false" customHeight="false" outlineLevel="0" collapsed="false">
      <c r="A62" s="5" t="n">
        <v>43405</v>
      </c>
      <c r="B62" s="0" t="n">
        <v>2018</v>
      </c>
      <c r="C62" s="0" t="n">
        <v>7103</v>
      </c>
      <c r="D62" s="0" t="n">
        <v>574</v>
      </c>
      <c r="E62" s="0" t="n">
        <v>68474</v>
      </c>
      <c r="F62" s="6" t="n">
        <f aca="false">C62/E62</f>
        <v>0.103732803691912</v>
      </c>
      <c r="G62" s="0" t="n">
        <v>454053</v>
      </c>
      <c r="H62" s="6" t="n">
        <f aca="false">C62/G62</f>
        <v>0.0156435482201417</v>
      </c>
    </row>
    <row r="63" customFormat="false" ht="15" hidden="false" customHeight="false" outlineLevel="0" collapsed="false">
      <c r="A63" s="5" t="n">
        <v>43435</v>
      </c>
      <c r="B63" s="0" t="n">
        <v>2018</v>
      </c>
      <c r="C63" s="0" t="n">
        <v>8048</v>
      </c>
      <c r="D63" s="0" t="n">
        <v>647</v>
      </c>
      <c r="E63" s="0" t="n">
        <v>70816</v>
      </c>
      <c r="F63" s="6" t="n">
        <f aca="false">C63/E63</f>
        <v>0.113646633529146</v>
      </c>
      <c r="G63" s="0" t="n">
        <v>463379</v>
      </c>
      <c r="H63" s="6" t="n">
        <f aca="false">C63/G63</f>
        <v>0.0173680723554585</v>
      </c>
    </row>
    <row r="64" customFormat="false" ht="15" hidden="false" customHeight="false" outlineLevel="0" collapsed="false">
      <c r="A64" s="5" t="n">
        <v>43466</v>
      </c>
      <c r="B64" s="0" t="n">
        <v>2019</v>
      </c>
      <c r="C64" s="0" t="n">
        <v>8116</v>
      </c>
      <c r="D64" s="0" t="n">
        <v>631</v>
      </c>
      <c r="E64" s="0" t="n">
        <v>71955</v>
      </c>
      <c r="F64" s="6" t="n">
        <f aca="false">C64/E64</f>
        <v>0.112792717670766</v>
      </c>
      <c r="G64" s="0" t="n">
        <v>458298</v>
      </c>
      <c r="H64" s="6" t="n">
        <f aca="false">C64/G64</f>
        <v>0.0177090015666662</v>
      </c>
    </row>
    <row r="65" customFormat="false" ht="15" hidden="false" customHeight="false" outlineLevel="0" collapsed="false">
      <c r="A65" s="5" t="n">
        <v>43497</v>
      </c>
      <c r="B65" s="0" t="n">
        <v>2019</v>
      </c>
      <c r="C65" s="0" t="n">
        <v>8034</v>
      </c>
      <c r="D65" s="0" t="n">
        <v>614</v>
      </c>
      <c r="E65" s="0" t="n">
        <v>72129</v>
      </c>
      <c r="F65" s="6" t="n">
        <f aca="false">C65/E65</f>
        <v>0.111383770744084</v>
      </c>
      <c r="G65" s="0" t="n">
        <v>464931</v>
      </c>
      <c r="H65" s="6" t="n">
        <f aca="false">C65/G65</f>
        <v>0.0172799834814198</v>
      </c>
    </row>
    <row r="66" customFormat="false" ht="15" hidden="false" customHeight="false" outlineLevel="0" collapsed="false">
      <c r="A66" s="5" t="n">
        <v>43525</v>
      </c>
      <c r="B66" s="0" t="n">
        <v>2019</v>
      </c>
      <c r="C66" s="0" t="n">
        <v>7640</v>
      </c>
      <c r="D66" s="0" t="n">
        <v>613</v>
      </c>
      <c r="E66" s="0" t="n">
        <v>73168</v>
      </c>
      <c r="F66" s="6" t="n">
        <f aca="false">C66/E66</f>
        <v>0.104417231576646</v>
      </c>
      <c r="G66" s="0" t="n">
        <v>474613</v>
      </c>
      <c r="H66" s="6" t="n">
        <f aca="false">C66/G66</f>
        <v>0.0160973256105501</v>
      </c>
    </row>
    <row r="67" customFormat="false" ht="15" hidden="false" customHeight="false" outlineLevel="0" collapsed="false">
      <c r="A67" s="5" t="n">
        <v>43556</v>
      </c>
      <c r="B67" s="0" t="n">
        <v>2019</v>
      </c>
      <c r="C67" s="0" t="n">
        <v>7849</v>
      </c>
      <c r="D67" s="0" t="n">
        <v>645</v>
      </c>
      <c r="E67" s="0" t="n">
        <v>74633</v>
      </c>
      <c r="F67" s="6" t="n">
        <f aca="false">C67/E67</f>
        <v>0.105167955194083</v>
      </c>
      <c r="G67" s="0" t="n">
        <v>479142</v>
      </c>
      <c r="H67" s="6" t="n">
        <f aca="false">C67/G67</f>
        <v>0.0163813650233125</v>
      </c>
    </row>
    <row r="68" customFormat="false" ht="15" hidden="false" customHeight="false" outlineLevel="0" collapsed="false">
      <c r="A68" s="5" t="n">
        <v>43586</v>
      </c>
      <c r="B68" s="0" t="n">
        <v>2019</v>
      </c>
      <c r="C68" s="0" t="n">
        <v>8740</v>
      </c>
      <c r="D68" s="0" t="n">
        <v>769</v>
      </c>
      <c r="E68" s="0" t="n">
        <v>76366</v>
      </c>
      <c r="F68" s="6" t="n">
        <f aca="false">C68/E68</f>
        <v>0.114448838488333</v>
      </c>
      <c r="G68" s="0" t="n">
        <v>489946</v>
      </c>
      <c r="H68" s="6" t="n">
        <f aca="false">C68/G68</f>
        <v>0.0178387005914938</v>
      </c>
    </row>
    <row r="69" customFormat="false" ht="15" hidden="false" customHeight="false" outlineLevel="0" collapsed="false">
      <c r="A69" s="5" t="n">
        <v>43617</v>
      </c>
      <c r="B69" s="0" t="n">
        <v>2019</v>
      </c>
      <c r="C69" s="0" t="n">
        <v>8885</v>
      </c>
      <c r="D69" s="0" t="n">
        <v>794</v>
      </c>
      <c r="E69" s="0" t="n">
        <v>75568</v>
      </c>
      <c r="F69" s="6" t="n">
        <f aca="false">C69/E69</f>
        <v>0.117576222739784</v>
      </c>
      <c r="G69" s="0" t="n">
        <v>498353</v>
      </c>
      <c r="H69" s="6" t="n">
        <f aca="false">C69/G69</f>
        <v>0.0178287278294703</v>
      </c>
    </row>
    <row r="70" customFormat="false" ht="15" hidden="false" customHeight="false" outlineLevel="0" collapsed="false">
      <c r="A70" s="5" t="n">
        <v>43647</v>
      </c>
      <c r="B70" s="0" t="n">
        <v>2019</v>
      </c>
      <c r="C70" s="0" t="n">
        <v>8826</v>
      </c>
      <c r="D70" s="0" t="n">
        <v>773</v>
      </c>
      <c r="E70" s="0" t="n">
        <v>80445</v>
      </c>
      <c r="F70" s="6" t="n">
        <f aca="false">C70/E70</f>
        <v>0.109714711914973</v>
      </c>
      <c r="G70" s="0" t="n">
        <v>508639</v>
      </c>
      <c r="H70" s="6" t="n">
        <f aca="false">C70/G70</f>
        <v>0.0173521888805223</v>
      </c>
    </row>
    <row r="71" customFormat="false" ht="15" hidden="false" customHeight="false" outlineLevel="0" collapsed="false">
      <c r="A71" s="5" t="n">
        <v>43678</v>
      </c>
      <c r="B71" s="0" t="n">
        <v>2019</v>
      </c>
      <c r="C71" s="0" t="n">
        <v>8829</v>
      </c>
      <c r="D71" s="0" t="n">
        <v>763</v>
      </c>
      <c r="E71" s="0" t="n">
        <v>82817</v>
      </c>
      <c r="F71" s="6" t="n">
        <f aca="false">C71/E71</f>
        <v>0.106608546554451</v>
      </c>
      <c r="G71" s="0" t="n">
        <v>519017</v>
      </c>
      <c r="H71" s="6" t="n">
        <f aca="false">C71/G71</f>
        <v>0.0170110034931418</v>
      </c>
    </row>
    <row r="72" customFormat="false" ht="15" hidden="false" customHeight="false" outlineLevel="0" collapsed="false">
      <c r="A72" s="5" t="n">
        <v>43709</v>
      </c>
      <c r="B72" s="0" t="n">
        <v>2019</v>
      </c>
      <c r="C72" s="0" t="n">
        <v>8120</v>
      </c>
      <c r="D72" s="0" t="n">
        <v>711</v>
      </c>
      <c r="E72" s="0" t="n">
        <v>79572</v>
      </c>
      <c r="F72" s="6" t="n">
        <f aca="false">C72/E72</f>
        <v>0.102045945810084</v>
      </c>
      <c r="G72" s="0" t="n">
        <v>521450</v>
      </c>
      <c r="H72" s="6" t="n">
        <f aca="false">C72/G72</f>
        <v>0.0155719627960495</v>
      </c>
    </row>
    <row r="73" customFormat="false" ht="15" hidden="false" customHeight="false" outlineLevel="0" collapsed="false">
      <c r="A73" s="5" t="n">
        <v>43739</v>
      </c>
      <c r="B73" s="0" t="n">
        <v>2019</v>
      </c>
      <c r="C73" s="0" t="n">
        <v>9123</v>
      </c>
      <c r="D73" s="0" t="n">
        <v>757</v>
      </c>
      <c r="E73" s="0" t="n">
        <v>81040</v>
      </c>
      <c r="F73" s="6" t="n">
        <f aca="false">C73/E73</f>
        <v>0.11257403751234</v>
      </c>
      <c r="G73" s="0" t="n">
        <v>524994</v>
      </c>
      <c r="H73" s="6" t="n">
        <f aca="false">C73/G73</f>
        <v>0.0173773414553309</v>
      </c>
    </row>
    <row r="74" customFormat="false" ht="15" hidden="false" customHeight="false" outlineLevel="0" collapsed="false">
      <c r="A74" s="5" t="n">
        <v>43770</v>
      </c>
      <c r="B74" s="0" t="n">
        <v>2019</v>
      </c>
      <c r="C74" s="0" t="n">
        <v>9609</v>
      </c>
      <c r="D74" s="0" t="n">
        <v>774</v>
      </c>
      <c r="E74" s="0" t="n">
        <v>81931</v>
      </c>
      <c r="F74" s="6" t="n">
        <f aca="false">C74/E74</f>
        <v>0.117281615017515</v>
      </c>
      <c r="G74" s="0" t="n">
        <v>532580</v>
      </c>
      <c r="H74" s="6" t="n">
        <f aca="false">C74/G74</f>
        <v>0.0180423598332645</v>
      </c>
    </row>
    <row r="75" customFormat="false" ht="15" hidden="false" customHeight="false" outlineLevel="0" collapsed="false">
      <c r="A75" s="5" t="n">
        <v>43800</v>
      </c>
      <c r="B75" s="0" t="n">
        <v>2019</v>
      </c>
      <c r="C75" s="0" t="n">
        <v>7920</v>
      </c>
      <c r="D75" s="0" t="n">
        <v>639</v>
      </c>
      <c r="E75" s="0" t="n">
        <v>80025</v>
      </c>
      <c r="F75" s="6" t="n">
        <f aca="false">C75/E75</f>
        <v>0.0989690721649485</v>
      </c>
      <c r="G75" s="0" t="n">
        <v>527548</v>
      </c>
      <c r="H75" s="6" t="n">
        <f aca="false">C75/G75</f>
        <v>0.0150128519111057</v>
      </c>
    </row>
    <row r="76" customFormat="false" ht="15" hidden="false" customHeight="false" outlineLevel="0" collapsed="false">
      <c r="A76" s="5" t="n">
        <v>43831</v>
      </c>
      <c r="B76" s="0" t="n">
        <v>2020</v>
      </c>
      <c r="C76" s="0" t="n">
        <v>9443</v>
      </c>
      <c r="D76" s="0" t="n">
        <v>747</v>
      </c>
      <c r="E76" s="0" t="n">
        <v>84149</v>
      </c>
      <c r="F76" s="6" t="n">
        <f aca="false">C76/E76</f>
        <v>0.112217613994225</v>
      </c>
      <c r="G76" s="0" t="n">
        <v>523305</v>
      </c>
      <c r="H76" s="6" t="n">
        <f aca="false">C76/G76</f>
        <v>0.0180449259991783</v>
      </c>
    </row>
    <row r="77" customFormat="false" ht="15" hidden="false" customHeight="false" outlineLevel="0" collapsed="false">
      <c r="A77" s="5" t="n">
        <v>43862</v>
      </c>
      <c r="B77" s="0" t="n">
        <v>2020</v>
      </c>
      <c r="C77" s="0" t="n">
        <v>9696</v>
      </c>
      <c r="D77" s="0" t="n">
        <v>743</v>
      </c>
      <c r="E77" s="0" t="n">
        <v>85308</v>
      </c>
      <c r="F77" s="6" t="n">
        <f aca="false">C77/E77</f>
        <v>0.113658742439162</v>
      </c>
      <c r="G77" s="0" t="n">
        <v>517917</v>
      </c>
      <c r="H77" s="6" t="n">
        <f aca="false">C77/G77</f>
        <v>0.018721146438522</v>
      </c>
    </row>
    <row r="78" customFormat="false" ht="15" hidden="false" customHeight="false" outlineLevel="0" collapsed="false">
      <c r="A78" s="5" t="n">
        <v>43891</v>
      </c>
      <c r="B78" s="0" t="n">
        <v>2020</v>
      </c>
      <c r="C78" s="0" t="n">
        <v>9445</v>
      </c>
      <c r="D78" s="0" t="n">
        <v>759</v>
      </c>
      <c r="E78" s="0" t="n">
        <v>84246</v>
      </c>
      <c r="F78" s="6" t="n">
        <f aca="false">C78/E78</f>
        <v>0.112112147757757</v>
      </c>
      <c r="G78" s="0" t="n">
        <v>513409</v>
      </c>
      <c r="H78" s="6" t="n">
        <f aca="false">C78/G78</f>
        <v>0.0183966389369879</v>
      </c>
    </row>
    <row r="79" customFormat="false" ht="15" hidden="false" customHeight="false" outlineLevel="0" collapsed="false">
      <c r="A79" s="5" t="n">
        <v>43922</v>
      </c>
      <c r="B79" s="0" t="n">
        <v>2020</v>
      </c>
      <c r="C79" s="0" t="n">
        <v>8932</v>
      </c>
      <c r="D79" s="0" t="n">
        <v>735</v>
      </c>
      <c r="E79" s="0" t="n">
        <v>79128</v>
      </c>
      <c r="F79" s="6" t="n">
        <f aca="false">C79/E79</f>
        <v>0.112880396319887</v>
      </c>
      <c r="G79" s="0" t="n">
        <v>494554</v>
      </c>
      <c r="H79" s="6" t="n">
        <f aca="false">C79/G79</f>
        <v>0.0180607173331931</v>
      </c>
    </row>
    <row r="80" customFormat="false" ht="15" hidden="false" customHeight="false" outlineLevel="0" collapsed="false">
      <c r="A80" s="5" t="n">
        <v>43952</v>
      </c>
      <c r="B80" s="0" t="n">
        <v>2020</v>
      </c>
      <c r="C80" s="0" t="n">
        <v>8695</v>
      </c>
      <c r="D80" s="0" t="n">
        <v>757</v>
      </c>
      <c r="E80" s="0" t="n">
        <v>80744</v>
      </c>
      <c r="F80" s="6" t="n">
        <f aca="false">C80/E80</f>
        <v>0.107686020013871</v>
      </c>
      <c r="G80" s="0" t="n">
        <v>491124</v>
      </c>
      <c r="H80" s="6" t="n">
        <f aca="false">C80/G80</f>
        <v>0.0177042864938386</v>
      </c>
    </row>
    <row r="81" customFormat="false" ht="15" hidden="false" customHeight="false" outlineLevel="0" collapsed="false">
      <c r="A81" s="5" t="n">
        <v>43983</v>
      </c>
      <c r="B81" s="0" t="n">
        <v>2020</v>
      </c>
      <c r="C81" s="0" t="n">
        <v>8973</v>
      </c>
      <c r="D81" s="0" t="n">
        <v>788</v>
      </c>
      <c r="E81" s="0" t="n">
        <v>82540</v>
      </c>
      <c r="F81" s="6" t="n">
        <f aca="false">C81/E81</f>
        <v>0.108710928034892</v>
      </c>
      <c r="G81" s="0" t="n">
        <v>496587</v>
      </c>
      <c r="H81" s="6" t="n">
        <f aca="false">C81/G81</f>
        <v>0.0180693413238768</v>
      </c>
    </row>
    <row r="82" customFormat="false" ht="15" hidden="false" customHeight="false" outlineLevel="0" collapsed="false">
      <c r="A82" s="5" t="n">
        <v>44013</v>
      </c>
      <c r="B82" s="0" t="n">
        <v>2020</v>
      </c>
      <c r="C82" s="0" t="n">
        <v>8750</v>
      </c>
      <c r="D82" s="0" t="n">
        <v>765</v>
      </c>
      <c r="E82" s="0" t="n">
        <v>80728</v>
      </c>
      <c r="F82" s="6" t="n">
        <f aca="false">C82/E82</f>
        <v>0.108388663165197</v>
      </c>
      <c r="G82" s="0" t="n">
        <v>494667</v>
      </c>
      <c r="H82" s="6" t="n">
        <f aca="false">C82/G82</f>
        <v>0.0176886673256959</v>
      </c>
    </row>
    <row r="83" customFormat="false" ht="15" hidden="false" customHeight="false" outlineLevel="0" collapsed="false">
      <c r="A83" s="5" t="n">
        <v>44044</v>
      </c>
      <c r="B83" s="0" t="n">
        <v>2020</v>
      </c>
      <c r="C83" s="0" t="n">
        <v>9102</v>
      </c>
      <c r="D83" s="0" t="n">
        <v>792</v>
      </c>
      <c r="E83" s="0" t="n">
        <v>78950</v>
      </c>
      <c r="F83" s="6" t="n">
        <f aca="false">C83/E83</f>
        <v>0.115288157061431</v>
      </c>
      <c r="G83" s="0" t="n">
        <v>484292</v>
      </c>
      <c r="H83" s="6" t="n">
        <f aca="false">C83/G83</f>
        <v>0.0187944463257704</v>
      </c>
    </row>
    <row r="84" customFormat="false" ht="15" hidden="false" customHeight="false" outlineLevel="0" collapsed="false">
      <c r="A84" s="5" t="n">
        <v>44075</v>
      </c>
      <c r="B84" s="0" t="n">
        <v>2020</v>
      </c>
      <c r="C84" s="0" t="n">
        <v>10101</v>
      </c>
      <c r="D84" s="0" t="n">
        <v>883</v>
      </c>
      <c r="E84" s="0" t="n">
        <v>79383</v>
      </c>
      <c r="F84" s="6" t="n">
        <f aca="false">C84/E84</f>
        <v>0.12724386833453</v>
      </c>
      <c r="G84" s="0" t="n">
        <v>483457</v>
      </c>
      <c r="H84" s="6" t="n">
        <f aca="false">C84/G84</f>
        <v>0.0208932748931136</v>
      </c>
    </row>
    <row r="85" customFormat="false" ht="15" hidden="false" customHeight="false" outlineLevel="0" collapsed="false">
      <c r="A85" s="5" t="n">
        <v>44105</v>
      </c>
      <c r="B85" s="0" t="n">
        <v>2020</v>
      </c>
      <c r="C85" s="0" t="n">
        <v>9290</v>
      </c>
      <c r="D85" s="0" t="n">
        <v>775</v>
      </c>
      <c r="E85" s="0" t="n">
        <v>77955</v>
      </c>
      <c r="F85" s="6" t="n">
        <f aca="false">C85/E85</f>
        <v>0.119171316785325</v>
      </c>
      <c r="G85" s="0" t="n">
        <v>487239</v>
      </c>
      <c r="H85" s="6" t="n">
        <f aca="false">C85/G85</f>
        <v>0.0190666182304783</v>
      </c>
    </row>
    <row r="86" customFormat="false" ht="15" hidden="false" customHeight="false" outlineLevel="0" collapsed="false">
      <c r="A86" s="5" t="n">
        <v>44136</v>
      </c>
      <c r="B86" s="0" t="n">
        <v>2020</v>
      </c>
      <c r="C86" s="0" t="n">
        <v>9229</v>
      </c>
      <c r="D86" s="0" t="n">
        <v>743</v>
      </c>
      <c r="E86" s="0" t="n">
        <v>76760</v>
      </c>
      <c r="F86" s="6" t="n">
        <f aca="false">C86/E86</f>
        <v>0.120231891610214</v>
      </c>
      <c r="G86" s="0" t="n">
        <v>481796</v>
      </c>
      <c r="H86" s="6" t="n">
        <f aca="false">C86/G86</f>
        <v>0.0191554101736004</v>
      </c>
    </row>
    <row r="87" customFormat="false" ht="15" hidden="false" customHeight="false" outlineLevel="0" collapsed="false">
      <c r="A87" s="5" t="n">
        <v>44166</v>
      </c>
      <c r="B87" s="0" t="n">
        <v>2020</v>
      </c>
      <c r="C87" s="0" t="n">
        <v>9199</v>
      </c>
      <c r="D87" s="0" t="n">
        <v>744</v>
      </c>
      <c r="E87" s="0" t="n">
        <v>77420</v>
      </c>
      <c r="F87" s="6" t="n">
        <f aca="false">C87/E87</f>
        <v>0.118819426504779</v>
      </c>
      <c r="G87" s="0" t="n">
        <v>481011</v>
      </c>
      <c r="H87" s="6" t="n">
        <f aca="false">C87/G87</f>
        <v>0.0191243027706227</v>
      </c>
    </row>
    <row r="88" customFormat="false" ht="15" hidden="false" customHeight="false" outlineLevel="0" collapsed="false">
      <c r="A88" s="5" t="n">
        <v>44197</v>
      </c>
      <c r="B88" s="0" t="n">
        <v>2021</v>
      </c>
      <c r="C88" s="0" t="n">
        <v>9257</v>
      </c>
      <c r="D88" s="0" t="n">
        <v>739</v>
      </c>
      <c r="E88" s="0" t="n">
        <v>78188</v>
      </c>
      <c r="F88" s="6" t="n">
        <f aca="false">C88/E88</f>
        <v>0.118394126976007</v>
      </c>
      <c r="G88" s="0" t="n">
        <v>485203</v>
      </c>
      <c r="H88" s="6" t="n">
        <f aca="false">C88/G88</f>
        <v>0.0190786124570541</v>
      </c>
    </row>
    <row r="89" customFormat="false" ht="15" hidden="false" customHeight="false" outlineLevel="0" collapsed="false">
      <c r="A89" s="5" t="n">
        <v>44228</v>
      </c>
      <c r="B89" s="0" t="n">
        <v>2021</v>
      </c>
      <c r="C89" s="0" t="n">
        <v>9061</v>
      </c>
      <c r="D89" s="0" t="n">
        <v>695</v>
      </c>
      <c r="E89" s="0" t="n">
        <v>76140</v>
      </c>
      <c r="F89" s="6" t="n">
        <f aca="false">C89/E89</f>
        <v>0.119004465458366</v>
      </c>
      <c r="G89" s="0" t="n">
        <v>480025</v>
      </c>
      <c r="H89" s="6" t="n">
        <f aca="false">C89/G89</f>
        <v>0.0188761002031144</v>
      </c>
    </row>
    <row r="90" customFormat="false" ht="15" hidden="false" customHeight="false" outlineLevel="0" collapsed="false">
      <c r="A90" s="5" t="n">
        <v>44256</v>
      </c>
      <c r="B90" s="0" t="n">
        <v>2021</v>
      </c>
      <c r="C90" s="0" t="n">
        <v>10274</v>
      </c>
      <c r="D90" s="0" t="n">
        <v>827</v>
      </c>
      <c r="E90" s="0" t="n">
        <v>79715</v>
      </c>
      <c r="F90" s="6" t="n">
        <f aca="false">C90/E90</f>
        <v>0.128884149783604</v>
      </c>
      <c r="G90" s="0" t="n">
        <v>493114</v>
      </c>
      <c r="H90" s="6" t="n">
        <f aca="false">C90/G90</f>
        <v>0.0208349387768346</v>
      </c>
    </row>
    <row r="91" customFormat="false" ht="15" hidden="false" customHeight="false" outlineLevel="0" collapsed="false">
      <c r="A91" s="5" t="n">
        <v>44287</v>
      </c>
      <c r="B91" s="0" t="n">
        <v>2021</v>
      </c>
      <c r="C91" s="0" t="n">
        <v>9401</v>
      </c>
      <c r="D91" s="0" t="n">
        <v>780</v>
      </c>
      <c r="E91" s="0" t="n">
        <v>78051</v>
      </c>
      <c r="F91" s="6" t="n">
        <f aca="false">C91/E91</f>
        <v>0.120446887291643</v>
      </c>
      <c r="G91" s="0" t="n">
        <v>488926</v>
      </c>
      <c r="H91" s="6" t="n">
        <f aca="false">C91/G91</f>
        <v>0.0192278586125508</v>
      </c>
    </row>
    <row r="92" customFormat="false" ht="15" hidden="false" customHeight="false" outlineLevel="0" collapsed="false">
      <c r="A92" s="5" t="n">
        <v>44317</v>
      </c>
      <c r="B92" s="0" t="n">
        <v>2021</v>
      </c>
      <c r="C92" s="0" t="n">
        <v>9326</v>
      </c>
      <c r="D92" s="0" t="n">
        <v>800</v>
      </c>
      <c r="E92" s="0" t="n">
        <v>78118</v>
      </c>
      <c r="F92" s="6" t="n">
        <f aca="false">C92/E92</f>
        <v>0.11938349676131</v>
      </c>
      <c r="G92" s="0" t="n">
        <v>487369</v>
      </c>
      <c r="H92" s="6" t="n">
        <f aca="false">C92/G92</f>
        <v>0.0191353984352718</v>
      </c>
    </row>
    <row r="93" customFormat="false" ht="15" hidden="false" customHeight="false" outlineLevel="0" collapsed="false">
      <c r="A93" s="5" t="n">
        <v>44348</v>
      </c>
      <c r="B93" s="0" t="n">
        <v>2021</v>
      </c>
      <c r="C93" s="0" t="n">
        <v>9312</v>
      </c>
      <c r="D93" s="0" t="n">
        <v>806</v>
      </c>
      <c r="E93" s="0" t="n">
        <v>77444</v>
      </c>
      <c r="F93" s="6" t="n">
        <f aca="false">C93/E93</f>
        <v>0.120241723051495</v>
      </c>
      <c r="G93" s="0" t="n">
        <v>493668</v>
      </c>
      <c r="H93" s="6" t="n">
        <f aca="false">C93/G93</f>
        <v>0.0188628795060648</v>
      </c>
    </row>
    <row r="94" customFormat="false" ht="15" hidden="false" customHeight="false" outlineLevel="0" collapsed="false">
      <c r="A94" s="5" t="n">
        <v>44378</v>
      </c>
      <c r="B94" s="0" t="n">
        <v>2021</v>
      </c>
      <c r="C94" s="0" t="n">
        <v>9752</v>
      </c>
      <c r="D94" s="0" t="n">
        <v>851</v>
      </c>
      <c r="E94" s="0" t="n">
        <v>77764</v>
      </c>
      <c r="F94" s="6" t="n">
        <f aca="false">C94/E94</f>
        <v>0.125405071755568</v>
      </c>
      <c r="G94" s="0" t="n">
        <v>497140</v>
      </c>
      <c r="H94" s="6" t="n">
        <f aca="false">C94/G94</f>
        <v>0.0196162046908316</v>
      </c>
    </row>
    <row r="95" customFormat="false" ht="15" hidden="false" customHeight="false" outlineLevel="0" collapsed="false">
      <c r="A95" s="5" t="n">
        <v>44409</v>
      </c>
      <c r="B95" s="0" t="n">
        <v>2021</v>
      </c>
      <c r="C95" s="0" t="n">
        <v>10495</v>
      </c>
      <c r="D95" s="0" t="n">
        <v>923</v>
      </c>
      <c r="E95" s="0" t="n">
        <v>77091</v>
      </c>
      <c r="F95" s="6" t="n">
        <f aca="false">C95/E95</f>
        <v>0.136137811158242</v>
      </c>
      <c r="G95" s="0" t="n">
        <v>495639</v>
      </c>
      <c r="H95" s="6" t="n">
        <f aca="false">C95/G95</f>
        <v>0.0211746856078719</v>
      </c>
    </row>
    <row r="96" customFormat="false" ht="15" hidden="false" customHeight="false" outlineLevel="0" collapsed="false">
      <c r="A96" s="5" t="n">
        <v>44440</v>
      </c>
      <c r="B96" s="0" t="n">
        <v>2021</v>
      </c>
      <c r="C96" s="0" t="n">
        <v>10834</v>
      </c>
      <c r="D96" s="0" t="n">
        <v>947</v>
      </c>
      <c r="E96" s="0" t="n">
        <v>77484</v>
      </c>
      <c r="F96" s="6" t="n">
        <f aca="false">C96/E96</f>
        <v>0.139822414950183</v>
      </c>
      <c r="G96" s="0" t="n">
        <v>499062</v>
      </c>
      <c r="H96" s="6" t="n">
        <f aca="false">C96/G96</f>
        <v>0.0217087255691678</v>
      </c>
    </row>
    <row r="97" customFormat="false" ht="15" hidden="false" customHeight="false" outlineLevel="0" collapsed="false">
      <c r="A97" s="5" t="n">
        <v>44470</v>
      </c>
      <c r="B97" s="0" t="n">
        <v>2021</v>
      </c>
      <c r="C97" s="0" t="n">
        <v>9686</v>
      </c>
      <c r="D97" s="0" t="n">
        <v>812</v>
      </c>
      <c r="E97" s="0" t="n">
        <v>76312</v>
      </c>
      <c r="F97" s="6" t="n">
        <f aca="false">C97/E97</f>
        <v>0.126926302547437</v>
      </c>
      <c r="G97" s="0" t="n">
        <v>504308</v>
      </c>
      <c r="H97" s="6" t="n">
        <f aca="false">C97/G97</f>
        <v>0.0192065166525219</v>
      </c>
    </row>
    <row r="98" customFormat="false" ht="15" hidden="false" customHeight="false" outlineLevel="0" collapsed="false">
      <c r="A98" s="5" t="n">
        <v>44501</v>
      </c>
      <c r="B98" s="0" t="n">
        <v>2021</v>
      </c>
      <c r="C98" s="0" t="n">
        <v>10578</v>
      </c>
      <c r="D98" s="0" t="n">
        <v>851</v>
      </c>
      <c r="E98" s="0" t="n">
        <v>77574</v>
      </c>
      <c r="F98" s="6" t="n">
        <f aca="false">C98/E98</f>
        <v>0.136360120658984</v>
      </c>
      <c r="G98" s="0" t="n">
        <v>516285</v>
      </c>
      <c r="H98" s="6" t="n">
        <f aca="false">C98/G98</f>
        <v>0.0204886835759319</v>
      </c>
    </row>
    <row r="99" customFormat="false" ht="15" hidden="false" customHeight="false" outlineLevel="0" collapsed="false">
      <c r="A99" s="5" t="n">
        <v>44531</v>
      </c>
      <c r="B99" s="0" t="n">
        <v>2021</v>
      </c>
      <c r="C99" s="0" t="n">
        <v>11324</v>
      </c>
      <c r="D99" s="0" t="n">
        <v>918</v>
      </c>
      <c r="E99" s="0" t="n">
        <v>76645</v>
      </c>
      <c r="F99" s="6" t="n">
        <f aca="false">C99/E99</f>
        <v>0.147746102159306</v>
      </c>
      <c r="G99" s="0" t="n">
        <v>518626</v>
      </c>
      <c r="H99" s="6" t="n">
        <f aca="false">C99/G99</f>
        <v>0.0218346168529923</v>
      </c>
    </row>
    <row r="100" customFormat="false" ht="15" hidden="false" customHeight="false" outlineLevel="0" collapsed="false">
      <c r="A100" s="5" t="n">
        <v>44562</v>
      </c>
      <c r="B100" s="0" t="n">
        <v>2022</v>
      </c>
      <c r="C100" s="0" t="n">
        <v>10959</v>
      </c>
      <c r="D100" s="0" t="n">
        <v>877</v>
      </c>
      <c r="E100" s="0" t="n">
        <v>77632</v>
      </c>
      <c r="F100" s="6" t="n">
        <f aca="false">C100/E100</f>
        <v>0.141166014014839</v>
      </c>
      <c r="G100" s="0" t="n">
        <v>532787</v>
      </c>
      <c r="H100" s="6" t="n">
        <f aca="false">C100/G100</f>
        <v>0.0205691955697117</v>
      </c>
    </row>
    <row r="101" customFormat="false" ht="15" hidden="false" customHeight="false" outlineLevel="0" collapsed="false">
      <c r="A101" s="5" t="n">
        <v>44593</v>
      </c>
      <c r="B101" s="0" t="n">
        <v>2022</v>
      </c>
      <c r="C101" s="0" t="n">
        <v>10564</v>
      </c>
      <c r="D101" s="0" t="n">
        <v>810</v>
      </c>
      <c r="E101" s="0" t="n">
        <v>78285</v>
      </c>
      <c r="F101" s="6" t="n">
        <f aca="false">C101/E101</f>
        <v>0.134942837069681</v>
      </c>
      <c r="G101" s="0" t="n">
        <v>542113</v>
      </c>
      <c r="H101" s="6" t="n">
        <f aca="false">C101/G101</f>
        <v>0.019486712179933</v>
      </c>
    </row>
    <row r="102" customFormat="false" ht="15" hidden="false" customHeight="false" outlineLevel="0" collapsed="false">
      <c r="A102" s="5" t="n">
        <v>44621</v>
      </c>
      <c r="B102" s="0" t="n">
        <v>2022</v>
      </c>
      <c r="C102" s="0" t="n">
        <v>11307</v>
      </c>
      <c r="D102" s="0" t="n">
        <v>912</v>
      </c>
      <c r="E102" s="0" t="n">
        <v>78798</v>
      </c>
      <c r="F102" s="6" t="n">
        <f aca="false">C102/E102</f>
        <v>0.143493489682479</v>
      </c>
      <c r="G102" s="0" t="n">
        <v>549284</v>
      </c>
      <c r="H102" s="6" t="n">
        <f aca="false">C102/G102</f>
        <v>0.0205849797190524</v>
      </c>
    </row>
    <row r="103" customFormat="false" ht="15" hidden="false" customHeight="false" outlineLevel="0" collapsed="false">
      <c r="A103" s="5" t="n">
        <v>44652</v>
      </c>
      <c r="B103" s="0" t="n">
        <v>2022</v>
      </c>
      <c r="C103" s="0" t="n">
        <v>12160</v>
      </c>
      <c r="D103" s="0" t="n">
        <v>1017</v>
      </c>
      <c r="E103" s="0" t="n">
        <v>81447</v>
      </c>
      <c r="F103" s="6" t="n">
        <f aca="false">C103/E103</f>
        <v>0.149299544489054</v>
      </c>
      <c r="G103" s="0" t="n">
        <v>569383</v>
      </c>
      <c r="H103" s="6" t="n">
        <f aca="false">C103/G103</f>
        <v>0.0213564507545887</v>
      </c>
    </row>
    <row r="104" customFormat="false" ht="15" hidden="false" customHeight="false" outlineLevel="0" collapsed="false">
      <c r="A104" s="5" t="n">
        <v>44682</v>
      </c>
      <c r="B104" s="0" t="n">
        <v>2022</v>
      </c>
      <c r="C104" s="0" t="n">
        <v>12126</v>
      </c>
      <c r="D104" s="0" t="n">
        <v>1030</v>
      </c>
      <c r="E104" s="0" t="n">
        <v>81055</v>
      </c>
      <c r="F104" s="6" t="n">
        <f aca="false">C104/E104</f>
        <v>0.149602122015915</v>
      </c>
      <c r="G104" s="0" t="n">
        <v>577187</v>
      </c>
      <c r="H104" s="6" t="n">
        <f aca="false">C104/G104</f>
        <v>0.0210087891792435</v>
      </c>
    </row>
    <row r="105" customFormat="false" ht="15" hidden="false" customHeight="false" outlineLevel="0" collapsed="false">
      <c r="A105" s="5" t="n">
        <v>44713</v>
      </c>
      <c r="B105" s="0" t="n">
        <v>2022</v>
      </c>
      <c r="C105" s="0" t="n">
        <v>12190</v>
      </c>
      <c r="D105" s="0" t="n">
        <v>1043</v>
      </c>
      <c r="E105" s="0" t="n">
        <v>81177</v>
      </c>
      <c r="F105" s="6" t="n">
        <f aca="false">C105/E105</f>
        <v>0.150165687325228</v>
      </c>
      <c r="G105" s="0" t="n">
        <v>585925</v>
      </c>
      <c r="H105" s="6" t="n">
        <f aca="false">C105/G105</f>
        <v>0.0208047105004907</v>
      </c>
    </row>
    <row r="106" customFormat="false" ht="15" hidden="false" customHeight="false" outlineLevel="0" collapsed="false">
      <c r="A106" s="5" t="n">
        <v>44743</v>
      </c>
      <c r="B106" s="0" t="n">
        <v>2022</v>
      </c>
      <c r="C106" s="0" t="n">
        <v>12751</v>
      </c>
      <c r="D106" s="0" t="n">
        <v>1109</v>
      </c>
      <c r="E106" s="0" t="n">
        <v>81730</v>
      </c>
      <c r="F106" s="6" t="n">
        <f aca="false">C106/E106</f>
        <v>0.156013703658387</v>
      </c>
      <c r="G106" s="0" t="n">
        <v>604904</v>
      </c>
      <c r="H106" s="6" t="n">
        <f aca="false">C106/G106</f>
        <v>0.0210793778847553</v>
      </c>
    </row>
    <row r="107" customFormat="false" ht="15" hidden="false" customHeight="false" outlineLevel="0" collapsed="false">
      <c r="A107" s="5" t="n">
        <v>44774</v>
      </c>
      <c r="B107" s="0" t="n">
        <v>2022</v>
      </c>
      <c r="C107" s="0" t="n">
        <v>13142</v>
      </c>
      <c r="D107" s="0" t="n">
        <v>1162</v>
      </c>
      <c r="E107" s="0" t="n">
        <v>83674</v>
      </c>
      <c r="F107" s="6" t="n">
        <f aca="false">C107/E107</f>
        <v>0.15706193082678</v>
      </c>
      <c r="G107" s="0" t="n">
        <v>609720</v>
      </c>
      <c r="H107" s="6" t="n">
        <f aca="false">C107/G107</f>
        <v>0.0215541560060356</v>
      </c>
    </row>
    <row r="108" customFormat="false" ht="15" hidden="false" customHeight="false" outlineLevel="0" collapsed="false">
      <c r="A108" s="5" t="n">
        <v>44805</v>
      </c>
      <c r="B108" s="0" t="n">
        <v>2022</v>
      </c>
      <c r="C108" s="0" t="n">
        <v>14571</v>
      </c>
      <c r="D108" s="0" t="n">
        <v>1274</v>
      </c>
      <c r="E108" s="0" t="n">
        <v>85837</v>
      </c>
      <c r="F108" s="6" t="n">
        <f aca="false">C108/E108</f>
        <v>0.16975197176043</v>
      </c>
      <c r="G108" s="0" t="n">
        <v>628279</v>
      </c>
      <c r="H108" s="6" t="n">
        <f aca="false">C108/G108</f>
        <v>0.0231919258800628</v>
      </c>
    </row>
    <row r="109" customFormat="false" ht="15" hidden="false" customHeight="false" outlineLevel="0" collapsed="false">
      <c r="A109" s="5" t="n">
        <v>44835</v>
      </c>
      <c r="B109" s="0" t="n">
        <v>2022</v>
      </c>
      <c r="C109" s="0" t="n">
        <v>12816</v>
      </c>
      <c r="D109" s="0" t="n">
        <v>1076</v>
      </c>
      <c r="E109" s="0" t="n">
        <v>84657</v>
      </c>
      <c r="F109" s="6" t="n">
        <f aca="false">C109/E109</f>
        <v>0.151387363124136</v>
      </c>
      <c r="G109" s="0" t="n">
        <v>633579</v>
      </c>
      <c r="H109" s="6" t="n">
        <f aca="false">C109/G109</f>
        <v>0.0202279431609949</v>
      </c>
    </row>
    <row r="110" customFormat="false" ht="15" hidden="false" customHeight="false" outlineLevel="0" collapsed="false">
      <c r="A110" s="5" t="n">
        <v>44866</v>
      </c>
      <c r="B110" s="0" t="n">
        <v>2022</v>
      </c>
      <c r="C110" s="0" t="n">
        <v>13855</v>
      </c>
      <c r="D110" s="0" t="n">
        <v>1120</v>
      </c>
      <c r="E110" s="0" t="n">
        <v>85716</v>
      </c>
      <c r="F110" s="6" t="n">
        <f aca="false">C110/E110</f>
        <v>0.161638433897989</v>
      </c>
      <c r="G110" s="0" t="n">
        <v>649673</v>
      </c>
      <c r="H110" s="6" t="n">
        <f aca="false">C110/G110</f>
        <v>0.0213261132908402</v>
      </c>
    </row>
    <row r="111" customFormat="false" ht="15" hidden="false" customHeight="false" outlineLevel="0" collapsed="false">
      <c r="A111" s="5" t="n">
        <v>44896</v>
      </c>
      <c r="B111" s="0" t="n">
        <v>2022</v>
      </c>
      <c r="C111" s="0" t="n">
        <v>14244</v>
      </c>
      <c r="D111" s="0" t="n">
        <v>1153</v>
      </c>
      <c r="E111" s="0" t="n">
        <v>87411</v>
      </c>
      <c r="F111" s="6" t="n">
        <f aca="false">C111/E111</f>
        <v>0.162954319250438</v>
      </c>
      <c r="G111" s="0" t="n">
        <v>663906</v>
      </c>
      <c r="H111" s="6" t="n">
        <f aca="false">C111/G111</f>
        <v>0.0214548445111206</v>
      </c>
    </row>
    <row r="112" customFormat="false" ht="15" hidden="false" customHeight="false" outlineLevel="0" collapsed="false">
      <c r="A112" s="5" t="n">
        <v>44927</v>
      </c>
      <c r="B112" s="0" t="n">
        <v>2023</v>
      </c>
      <c r="C112" s="0" t="n">
        <v>15589</v>
      </c>
      <c r="D112" s="0" t="n">
        <v>1246</v>
      </c>
      <c r="E112" s="0" t="n">
        <v>87862</v>
      </c>
      <c r="F112" s="6" t="n">
        <f aca="false">C112/E112</f>
        <v>0.177425963442671</v>
      </c>
      <c r="G112" s="0" t="n">
        <v>692679</v>
      </c>
      <c r="H112" s="6" t="n">
        <f aca="false">C112/G112</f>
        <v>0.0225053740621558</v>
      </c>
    </row>
    <row r="113" customFormat="false" ht="15" hidden="false" customHeight="false" outlineLevel="0" collapsed="false">
      <c r="A113" s="5" t="n">
        <v>44958</v>
      </c>
      <c r="B113" s="0" t="n">
        <v>2023</v>
      </c>
      <c r="C113" s="0" t="n">
        <v>17920</v>
      </c>
      <c r="D113" s="0" t="n">
        <v>1374</v>
      </c>
      <c r="E113" s="0" t="n">
        <v>88818</v>
      </c>
      <c r="F113" s="6" t="n">
        <f aca="false">C113/E113</f>
        <v>0.201760904321196</v>
      </c>
      <c r="G113" s="0" t="n">
        <v>705057</v>
      </c>
      <c r="H113" s="6" t="n">
        <f aca="false">C113/G113</f>
        <v>0.0254163847745643</v>
      </c>
    </row>
    <row r="114" customFormat="false" ht="15" hidden="false" customHeight="false" outlineLevel="0" collapsed="false">
      <c r="A114" s="5" t="n">
        <v>44986</v>
      </c>
      <c r="B114" s="0" t="n">
        <v>2023</v>
      </c>
      <c r="C114" s="0" t="n">
        <v>18015</v>
      </c>
      <c r="D114" s="0" t="n">
        <v>1458</v>
      </c>
      <c r="E114" s="0" t="n">
        <v>88688</v>
      </c>
      <c r="F114" s="6" t="n">
        <f aca="false">C114/E114</f>
        <v>0.203127818870648</v>
      </c>
      <c r="G114" s="0" t="n">
        <v>719951</v>
      </c>
      <c r="H114" s="6" t="n">
        <f aca="false">C114/G114</f>
        <v>0.0250225362559396</v>
      </c>
    </row>
    <row r="115" customFormat="false" ht="15" hidden="false" customHeight="false" outlineLevel="0" collapsed="false">
      <c r="A115" s="5" t="n">
        <v>45017</v>
      </c>
      <c r="B115" s="0" t="n">
        <v>2023</v>
      </c>
      <c r="C115" s="0" t="n">
        <v>17943</v>
      </c>
      <c r="D115" s="0" t="n">
        <v>1509</v>
      </c>
      <c r="E115" s="0" t="n">
        <v>87516</v>
      </c>
      <c r="F115" s="6" t="n">
        <f aca="false">C115/E115</f>
        <v>0.205025366790073</v>
      </c>
      <c r="G115" s="0" t="n">
        <v>739944</v>
      </c>
      <c r="H115" s="6" t="n">
        <f aca="false">C115/G115</f>
        <v>0.0242491323667737</v>
      </c>
    </row>
    <row r="116" customFormat="false" ht="15" hidden="false" customHeight="false" outlineLevel="0" collapsed="false">
      <c r="A116" s="5" t="n">
        <v>45047</v>
      </c>
      <c r="B116" s="0" t="n">
        <v>2023</v>
      </c>
      <c r="C116" s="0" t="n">
        <v>18232</v>
      </c>
      <c r="D116" s="0" t="n">
        <v>1543</v>
      </c>
      <c r="E116" s="0" t="n">
        <v>88366</v>
      </c>
      <c r="F116" s="6" t="n">
        <f aca="false">C116/E116</f>
        <v>0.206323699160311</v>
      </c>
      <c r="G116" s="0" t="n">
        <v>744075</v>
      </c>
      <c r="H116" s="6" t="n">
        <f aca="false">C116/G116</f>
        <v>0.0245029062930484</v>
      </c>
    </row>
    <row r="117" customFormat="false" ht="15" hidden="false" customHeight="false" outlineLevel="0" collapsed="false">
      <c r="A117" s="5" t="n">
        <v>45078</v>
      </c>
      <c r="B117" s="0" t="n">
        <v>2023</v>
      </c>
      <c r="C117" s="0" t="n">
        <v>18735</v>
      </c>
      <c r="D117" s="0" t="n">
        <v>1595</v>
      </c>
      <c r="E117" s="0" t="n">
        <v>87555</v>
      </c>
      <c r="F117" s="6" t="n">
        <f aca="false">C117/E117</f>
        <v>0.213979784135686</v>
      </c>
      <c r="G117" s="0" t="n">
        <v>748961</v>
      </c>
      <c r="H117" s="6" t="n">
        <f aca="false">C117/G117</f>
        <v>0.0250146536335003</v>
      </c>
    </row>
    <row r="118" customFormat="false" ht="15" hidden="false" customHeight="false" outlineLevel="0" collapsed="false">
      <c r="A118" s="5" t="n">
        <v>45108</v>
      </c>
      <c r="B118" s="0" t="n">
        <v>2023</v>
      </c>
      <c r="C118" s="0" t="n">
        <v>19641</v>
      </c>
      <c r="D118" s="0" t="n">
        <v>1701</v>
      </c>
      <c r="E118" s="0" t="n">
        <v>86300</v>
      </c>
      <c r="F118" s="6" t="n">
        <f aca="false">C118/E118</f>
        <v>0.227589803012746</v>
      </c>
      <c r="G118" s="0" t="n">
        <v>750507</v>
      </c>
      <c r="H118" s="6" t="n">
        <f aca="false">C118/G118</f>
        <v>0.0261703088712031</v>
      </c>
    </row>
    <row r="119" customFormat="false" ht="15" hidden="false" customHeight="false" outlineLevel="0" collapsed="false">
      <c r="A119" s="5" t="n">
        <v>45139</v>
      </c>
      <c r="B119" s="0" t="n">
        <v>2023</v>
      </c>
      <c r="C119" s="0" t="n">
        <v>20498</v>
      </c>
      <c r="D119" s="0" t="n">
        <v>1814</v>
      </c>
      <c r="E119" s="0" t="n">
        <v>87440</v>
      </c>
      <c r="F119" s="6" t="n">
        <f aca="false">C119/E119</f>
        <v>0.234423604757548</v>
      </c>
      <c r="G119" s="0" t="n">
        <v>763653</v>
      </c>
      <c r="H119" s="6" t="n">
        <f aca="false">C119/G119</f>
        <v>0.0268420342747295</v>
      </c>
    </row>
    <row r="120" customFormat="false" ht="15" hidden="false" customHeight="false" outlineLevel="0" collapsed="false">
      <c r="A120" s="5" t="n">
        <v>45170</v>
      </c>
      <c r="B120" s="0" t="n">
        <v>2023</v>
      </c>
      <c r="C120" s="0" t="n">
        <v>21285</v>
      </c>
      <c r="D120" s="0" t="n">
        <v>1862</v>
      </c>
      <c r="E120" s="0" t="n">
        <v>87800</v>
      </c>
      <c r="F120" s="6" t="n">
        <f aca="false">C120/E120</f>
        <v>0.242425968109339</v>
      </c>
      <c r="G120" s="0" t="n">
        <v>767476</v>
      </c>
      <c r="H120" s="6" t="n">
        <f aca="false">C120/G120</f>
        <v>0.0277337662676097</v>
      </c>
    </row>
    <row r="121" customFormat="false" ht="15" hidden="false" customHeight="false" outlineLevel="0" collapsed="false">
      <c r="A121" s="5" t="n">
        <v>45200</v>
      </c>
      <c r="B121" s="0" t="n">
        <v>2023</v>
      </c>
      <c r="C121" s="0" t="n">
        <v>23720</v>
      </c>
      <c r="D121" s="0" t="n">
        <v>1995</v>
      </c>
      <c r="E121" s="0" t="n">
        <v>87815</v>
      </c>
      <c r="F121" s="6" t="n">
        <f aca="false">C121/E121</f>
        <v>0.270113306382736</v>
      </c>
      <c r="G121" s="0" t="n">
        <v>778593</v>
      </c>
      <c r="H121" s="6" t="n">
        <f aca="false">C121/G121</f>
        <v>0.0304652109638797</v>
      </c>
    </row>
    <row r="122" customFormat="false" ht="15" hidden="false" customHeight="false" outlineLevel="0" collapsed="false">
      <c r="A122" s="5" t="n">
        <v>45231</v>
      </c>
      <c r="B122" s="0" t="n">
        <v>2023</v>
      </c>
      <c r="C122" s="0" t="n">
        <v>23864</v>
      </c>
      <c r="D122" s="0" t="n">
        <v>1935</v>
      </c>
      <c r="E122" s="0" t="n">
        <v>88346</v>
      </c>
      <c r="F122" s="6" t="n">
        <f aca="false">C122/E122</f>
        <v>0.270119756412288</v>
      </c>
      <c r="G122" s="0" t="n">
        <v>789883</v>
      </c>
      <c r="H122" s="6" t="n">
        <f aca="false">C122/G122</f>
        <v>0.0302120693824275</v>
      </c>
    </row>
    <row r="123" customFormat="false" ht="15" hidden="false" customHeight="false" outlineLevel="0" collapsed="false">
      <c r="A123" s="5" t="n">
        <v>45261</v>
      </c>
      <c r="B123" s="0" t="n">
        <v>2023</v>
      </c>
      <c r="C123" s="0" t="n">
        <v>24238</v>
      </c>
      <c r="D123" s="0" t="n">
        <v>1963</v>
      </c>
      <c r="E123" s="0" t="n">
        <v>87235</v>
      </c>
      <c r="F123" s="6" t="n">
        <f aca="false">C123/E123</f>
        <v>0.277847194360062</v>
      </c>
      <c r="G123" s="0" t="n">
        <v>791368</v>
      </c>
      <c r="H123" s="6" t="n">
        <f aca="false">C123/G123</f>
        <v>0.0306279758595243</v>
      </c>
    </row>
    <row r="124" customFormat="false" ht="15" hidden="false" customHeight="false" outlineLevel="0" collapsed="false">
      <c r="A124" s="5" t="n">
        <v>45292</v>
      </c>
      <c r="B124" s="0" t="n">
        <v>2024</v>
      </c>
      <c r="C124" s="0" t="n">
        <v>26412</v>
      </c>
      <c r="D124" s="0" t="n">
        <v>2104</v>
      </c>
      <c r="E124" s="0" t="n">
        <v>87227</v>
      </c>
      <c r="F124" s="6" t="n">
        <f aca="false">C124/E124</f>
        <v>0.302796152567439</v>
      </c>
      <c r="G124" s="0" t="n">
        <v>788246</v>
      </c>
      <c r="H124" s="6" t="n">
        <f aca="false">C124/G124</f>
        <v>0.0335073060947978</v>
      </c>
    </row>
    <row r="125" customFormat="false" ht="15" hidden="false" customHeight="false" outlineLevel="0" collapsed="false">
      <c r="A125" s="5" t="n">
        <v>45323</v>
      </c>
      <c r="B125" s="0" t="n">
        <v>2024</v>
      </c>
      <c r="C125" s="0" t="n">
        <v>28319</v>
      </c>
      <c r="D125" s="0" t="n">
        <v>2170</v>
      </c>
      <c r="E125" s="0" t="n">
        <v>89029</v>
      </c>
      <c r="F125" s="6" t="n">
        <f aca="false">C125/E125</f>
        <v>0.318087364791248</v>
      </c>
      <c r="G125" s="0" t="n">
        <v>791119</v>
      </c>
      <c r="H125" s="6" t="n">
        <f aca="false">C125/G125</f>
        <v>0.0357961318082362</v>
      </c>
    </row>
    <row r="126" customFormat="false" ht="15" hidden="false" customHeight="false" outlineLevel="0" collapsed="false">
      <c r="A126" s="5" t="n">
        <v>45352</v>
      </c>
      <c r="B126" s="0" t="n">
        <v>2024</v>
      </c>
      <c r="C126" s="0" t="n">
        <v>30172</v>
      </c>
      <c r="D126" s="0" t="n">
        <v>2447</v>
      </c>
      <c r="E126" s="0" t="n">
        <v>88947</v>
      </c>
      <c r="F126" s="6" t="n">
        <f aca="false">C126/E126</f>
        <v>0.339213239344778</v>
      </c>
      <c r="G126" s="0" t="n">
        <v>795690</v>
      </c>
      <c r="H126" s="6" t="n">
        <f aca="false">C126/G126</f>
        <v>0.0379192901758222</v>
      </c>
    </row>
    <row r="127" customFormat="false" ht="15" hidden="false" customHeight="false" outlineLevel="0" collapsed="false">
      <c r="A127" s="5" t="n">
        <v>45383</v>
      </c>
      <c r="B127" s="0" t="n">
        <v>2024</v>
      </c>
      <c r="C127" s="0" t="n">
        <v>28069</v>
      </c>
      <c r="D127" s="0" t="n">
        <v>2359</v>
      </c>
      <c r="E127" s="0" t="n">
        <v>85609</v>
      </c>
      <c r="F127" s="6" t="n">
        <f aca="false">C127/E127</f>
        <v>0.32787440572837</v>
      </c>
      <c r="G127" s="0" t="n">
        <v>786264</v>
      </c>
      <c r="H127" s="6" t="n">
        <f aca="false">C127/G127</f>
        <v>0.0356992053559619</v>
      </c>
    </row>
    <row r="128" customFormat="false" ht="15" hidden="false" customHeight="false" outlineLevel="0" collapsed="false">
      <c r="A128" s="5" t="n">
        <v>45413</v>
      </c>
      <c r="B128" s="0" t="n">
        <v>2024</v>
      </c>
      <c r="C128" s="0" t="n">
        <v>32271</v>
      </c>
      <c r="D128" s="0" t="n">
        <v>2740</v>
      </c>
      <c r="E128" s="0" t="n">
        <v>89114</v>
      </c>
      <c r="F128" s="6" t="n">
        <f aca="false">C128/E128</f>
        <v>0.362131651592342</v>
      </c>
      <c r="G128" s="0" t="n">
        <v>789040</v>
      </c>
      <c r="H128" s="6" t="n">
        <f aca="false">C128/G128</f>
        <v>0.0408990672209267</v>
      </c>
    </row>
    <row r="129" customFormat="false" ht="15" hidden="false" customHeight="false" outlineLevel="0" collapsed="false">
      <c r="A129" s="5" t="n">
        <v>45444</v>
      </c>
      <c r="B129" s="0" t="n">
        <v>2024</v>
      </c>
      <c r="C129" s="0" t="n">
        <v>35304</v>
      </c>
      <c r="D129" s="0" t="n">
        <v>3007</v>
      </c>
      <c r="E129" s="0" t="n">
        <v>92969</v>
      </c>
      <c r="F129" s="6" t="n">
        <f aca="false">C129/E129</f>
        <v>0.379739483053491</v>
      </c>
      <c r="G129" s="0" t="n">
        <v>799022</v>
      </c>
      <c r="H129" s="6" t="n">
        <f aca="false">C129/G129</f>
        <v>0.0441840149582865</v>
      </c>
    </row>
    <row r="130" customFormat="false" ht="15" hidden="false" customHeight="false" outlineLevel="0" collapsed="false">
      <c r="A130" s="5" t="n">
        <v>45474</v>
      </c>
      <c r="B130" s="0" t="n">
        <v>2024</v>
      </c>
      <c r="C130" s="0" t="n">
        <v>36124</v>
      </c>
      <c r="D130" s="0" t="n">
        <v>3123</v>
      </c>
      <c r="E130" s="0" t="n">
        <v>93625</v>
      </c>
      <c r="F130" s="6" t="n">
        <f aca="false">C130/E130</f>
        <v>0.385837116154873</v>
      </c>
      <c r="G130" s="0" t="n">
        <v>796738</v>
      </c>
      <c r="H130" s="6" t="n">
        <f aca="false">C130/G130</f>
        <v>0.0453398733335174</v>
      </c>
    </row>
    <row r="131" customFormat="false" ht="15" hidden="false" customHeight="false" outlineLevel="0" collapsed="false">
      <c r="A131" s="5" t="n">
        <v>45505</v>
      </c>
      <c r="B131" s="0" t="n">
        <v>2024</v>
      </c>
      <c r="C131" s="0" t="n">
        <v>36668</v>
      </c>
      <c r="D131" s="0" t="n">
        <v>3235</v>
      </c>
      <c r="E131" s="0" t="n">
        <v>93183</v>
      </c>
      <c r="F131" s="6" t="n">
        <f aca="false">C131/E131</f>
        <v>0.393505253104107</v>
      </c>
      <c r="G131" s="0" t="n">
        <v>802435</v>
      </c>
      <c r="H131" s="6" t="n">
        <f aca="false">C131/G131</f>
        <v>0.0456959130646096</v>
      </c>
    </row>
    <row r="132" customFormat="false" ht="15" hidden="false" customHeight="false" outlineLevel="0" collapsed="false">
      <c r="A132" s="5" t="n">
        <v>45536</v>
      </c>
      <c r="B132" s="0" t="n">
        <v>2024</v>
      </c>
      <c r="C132" s="0" t="n">
        <v>37576</v>
      </c>
      <c r="D132" s="0" t="n">
        <v>3287</v>
      </c>
      <c r="E132" s="0" t="n">
        <v>92147</v>
      </c>
      <c r="F132" s="6" t="n">
        <f aca="false">C132/E132</f>
        <v>0.40778321594843</v>
      </c>
      <c r="G132" s="0" t="n">
        <v>802283</v>
      </c>
      <c r="H132" s="6" t="n">
        <f aca="false">C132/G132</f>
        <v>0.0468363407924635</v>
      </c>
    </row>
    <row r="133" customFormat="false" ht="15" hidden="false" customHeight="false" outlineLevel="0" collapsed="false">
      <c r="A133" s="5" t="n">
        <v>45566</v>
      </c>
      <c r="B133" s="0" t="n">
        <v>2024</v>
      </c>
      <c r="C133" s="0" t="n">
        <v>40048</v>
      </c>
      <c r="D133" s="0" t="n">
        <v>3370</v>
      </c>
      <c r="E133" s="0" t="n">
        <v>93113</v>
      </c>
      <c r="F133" s="6" t="n">
        <f aca="false">C133/E133</f>
        <v>0.430101060002363</v>
      </c>
      <c r="G133" s="0" t="n">
        <v>797492</v>
      </c>
      <c r="H133" s="6" t="n">
        <f aca="false">C133/G133</f>
        <v>0.0502174316482172</v>
      </c>
    </row>
    <row r="134" customFormat="false" ht="15" hidden="false" customHeight="false" outlineLevel="0" collapsed="false">
      <c r="A134" s="5" t="n">
        <v>45597</v>
      </c>
      <c r="B134" s="0" t="n">
        <v>2024</v>
      </c>
      <c r="C134" s="0" t="n">
        <v>40951</v>
      </c>
      <c r="D134" s="0" t="n">
        <v>3333</v>
      </c>
      <c r="E134" s="0" t="n">
        <v>95146</v>
      </c>
      <c r="F134" s="6" t="n">
        <f aca="false">C134/E134</f>
        <v>0.430401698442394</v>
      </c>
      <c r="G134" s="0" t="n">
        <v>807746</v>
      </c>
      <c r="H134" s="6" t="n">
        <f aca="false">C134/G134</f>
        <v>0.0506978678941152</v>
      </c>
    </row>
    <row r="135" customFormat="false" ht="15" hidden="false" customHeight="false" outlineLevel="0" collapsed="false">
      <c r="A135" s="5" t="n">
        <v>45627</v>
      </c>
      <c r="B135" s="0" t="n">
        <v>2024</v>
      </c>
      <c r="C135" s="0" t="n">
        <v>44703</v>
      </c>
      <c r="D135" s="0" t="n">
        <v>3622</v>
      </c>
      <c r="E135" s="0" t="n">
        <v>99316</v>
      </c>
      <c r="F135" s="6" t="n">
        <f aca="false">C135/E135</f>
        <v>0.450108743807644</v>
      </c>
      <c r="G135" s="0" t="n">
        <v>804706</v>
      </c>
      <c r="H135" s="6" t="n">
        <f aca="false">C135/G135</f>
        <v>0.0555519655625781</v>
      </c>
    </row>
    <row r="136" customFormat="false" ht="15" hidden="false" customHeight="false" outlineLevel="0" collapsed="false">
      <c r="A136" s="5" t="n">
        <v>45658</v>
      </c>
      <c r="B136" s="0" t="n">
        <v>2025</v>
      </c>
      <c r="C136" s="0" t="n">
        <v>45341</v>
      </c>
      <c r="D136" s="0" t="n">
        <v>3592</v>
      </c>
      <c r="E136" s="0" t="n">
        <v>102225</v>
      </c>
      <c r="F136" s="6" t="n">
        <f aca="false">C136/E136</f>
        <v>0.443541208119345</v>
      </c>
      <c r="G136" s="0" t="n">
        <v>803294</v>
      </c>
      <c r="H136" s="6" t="n">
        <f aca="false">C136/G136</f>
        <v>0.0564438424785944</v>
      </c>
    </row>
    <row r="137" customFormat="false" ht="15" hidden="false" customHeight="false" outlineLevel="0" collapsed="false">
      <c r="A137" s="5" t="n">
        <v>45689</v>
      </c>
      <c r="B137" s="0" t="n">
        <v>2025</v>
      </c>
      <c r="C137" s="0" t="n">
        <v>46409</v>
      </c>
      <c r="D137" s="0" t="n">
        <v>3554</v>
      </c>
      <c r="E137" s="0" t="n">
        <v>102795</v>
      </c>
      <c r="F137" s="6" t="n">
        <f aca="false">C137/E137</f>
        <v>0.451471375066881</v>
      </c>
      <c r="G137" s="0" t="n">
        <v>805729</v>
      </c>
      <c r="H137" s="6" t="n">
        <f aca="false">C137/G137</f>
        <v>0.05759877080259</v>
      </c>
    </row>
    <row r="138" customFormat="false" ht="15" hidden="false" customHeight="false" outlineLevel="0" collapsed="false">
      <c r="A138" s="5" t="n">
        <v>45717</v>
      </c>
      <c r="B138" s="0" t="n">
        <v>2025</v>
      </c>
      <c r="C138" s="0" t="n">
        <v>46593</v>
      </c>
      <c r="D138" s="0" t="n">
        <v>3784</v>
      </c>
      <c r="E138" s="0" t="n">
        <v>102854</v>
      </c>
      <c r="F138" s="6" t="n">
        <f aca="false">C138/E138</f>
        <v>0.453001341707663</v>
      </c>
      <c r="G138" s="0" t="n">
        <v>795337</v>
      </c>
      <c r="H138" s="6" t="n">
        <f aca="false">C138/G138</f>
        <v>0.0585827139941937</v>
      </c>
    </row>
    <row r="139" customFormat="false" ht="15" hidden="false" customHeight="false" outlineLevel="0" collapsed="false">
      <c r="A139" s="5" t="n">
        <v>45748</v>
      </c>
      <c r="B139" s="0" t="n">
        <v>2025</v>
      </c>
      <c r="C139" s="0" t="n">
        <v>52818</v>
      </c>
      <c r="D139" s="0" t="n">
        <v>4422</v>
      </c>
      <c r="E139" s="0" t="n">
        <v>109064</v>
      </c>
      <c r="F139" s="6" t="n">
        <f aca="false">C139/E139</f>
        <v>0.484284456832685</v>
      </c>
      <c r="G139" s="0" t="n">
        <v>806145</v>
      </c>
      <c r="H139" s="6" t="n">
        <f aca="false">C139/G139</f>
        <v>0.0655192304114024</v>
      </c>
    </row>
    <row r="140" customFormat="false" ht="15" hidden="false" customHeight="false" outlineLevel="0" collapsed="false">
      <c r="A140" s="5" t="n">
        <v>45778</v>
      </c>
      <c r="B140" s="0" t="n">
        <v>2025</v>
      </c>
      <c r="C140" s="0" t="n">
        <v>48210</v>
      </c>
      <c r="D140" s="0" t="n">
        <v>4110</v>
      </c>
      <c r="E140" s="0" t="n">
        <v>102760</v>
      </c>
      <c r="F140" s="6" t="n">
        <f aca="false">C140/E140</f>
        <v>0.469151420786298</v>
      </c>
      <c r="G140" s="0" t="n">
        <v>790988</v>
      </c>
      <c r="H140" s="6" t="n">
        <f aca="false">C140/G140</f>
        <v>0.0609490915159269</v>
      </c>
    </row>
    <row r="141" customFormat="false" ht="15" hidden="false" customHeight="false" outlineLevel="0" collapsed="false">
      <c r="A141" s="5" t="n">
        <v>45809</v>
      </c>
      <c r="B141" s="0" t="n">
        <v>2025</v>
      </c>
      <c r="C141" s="0" t="n">
        <v>46850</v>
      </c>
      <c r="D141" s="0" t="n">
        <v>4013</v>
      </c>
      <c r="E141" s="0" t="n">
        <v>100575</v>
      </c>
      <c r="F141" s="6" t="n">
        <f aca="false">C141/E141</f>
        <v>0.465821526224211</v>
      </c>
      <c r="G141" s="0" t="n">
        <v>782127</v>
      </c>
      <c r="H141" s="6" t="n">
        <f aca="false">C141/G141</f>
        <v>0.0599007578053181</v>
      </c>
    </row>
    <row r="142" customFormat="false" ht="15" hidden="false" customHeight="false" outlineLevel="0" collapsed="false">
      <c r="A142" s="5" t="n">
        <v>45839</v>
      </c>
      <c r="B142" s="0" t="n">
        <v>2025</v>
      </c>
      <c r="C142" s="0" t="n">
        <v>47810</v>
      </c>
      <c r="D142" s="0" t="n">
        <v>4133</v>
      </c>
      <c r="E142" s="0" t="n">
        <v>101666</v>
      </c>
      <c r="F142" s="6" t="n">
        <f aca="false">C142/E142</f>
        <v>0.470265378789369</v>
      </c>
      <c r="G142" s="0" t="n">
        <v>781119</v>
      </c>
      <c r="H142" s="6" t="n">
        <f aca="false">C142/G142</f>
        <v>0.0612070632003574</v>
      </c>
    </row>
    <row r="143" customFormat="false" ht="15" hidden="false" customHeight="false" outlineLevel="0" collapsed="false">
      <c r="A143" s="5" t="n">
        <v>45870</v>
      </c>
      <c r="B143" s="0" t="n">
        <v>2025</v>
      </c>
      <c r="C143" s="0" t="n">
        <v>49052</v>
      </c>
      <c r="D143" s="0" t="n">
        <v>4312</v>
      </c>
      <c r="E143" s="0" t="n">
        <v>103300</v>
      </c>
      <c r="F143" s="6" t="n">
        <f aca="false">C143/E143</f>
        <v>0.474849951597289</v>
      </c>
      <c r="G143" s="0" t="n">
        <v>780447</v>
      </c>
      <c r="H143" s="6" t="n">
        <f aca="false">C143/G143</f>
        <v>0.0628511609372578</v>
      </c>
    </row>
    <row r="144" customFormat="false" ht="15" hidden="false" customHeight="false" outlineLevel="0" collapsed="false">
      <c r="A144" s="5" t="n">
        <v>45901</v>
      </c>
      <c r="B144" s="0" t="n">
        <v>2025</v>
      </c>
      <c r="C144" s="0" t="n">
        <v>50700</v>
      </c>
      <c r="D144" s="0" t="n">
        <v>4430</v>
      </c>
      <c r="E144" s="0" t="n">
        <v>104376</v>
      </c>
      <c r="F144" s="6" t="n">
        <f aca="false">C144/E144</f>
        <v>0.485743849160727</v>
      </c>
      <c r="G144" s="0" t="n">
        <v>773148</v>
      </c>
      <c r="H144" s="6" t="n">
        <f aca="false">C144/G144</f>
        <v>0.0655760604696643</v>
      </c>
    </row>
    <row r="145" customFormat="false" ht="15" hidden="false" customHeight="false" outlineLevel="0" collapsed="false">
      <c r="A145" s="5" t="n">
        <v>45931</v>
      </c>
      <c r="B145" s="0" t="n">
        <v>2025</v>
      </c>
      <c r="C145" s="0" t="n">
        <v>54260</v>
      </c>
      <c r="D145" s="0" t="n">
        <v>4573</v>
      </c>
      <c r="E145" s="0" t="n">
        <v>108898</v>
      </c>
      <c r="F145" s="6" t="n">
        <f aca="false">C145/E145</f>
        <v>0.498264430935371</v>
      </c>
      <c r="G145" s="0" t="n">
        <v>776782</v>
      </c>
      <c r="H145" s="6" t="n">
        <f aca="false">C145/G145</f>
        <v>0.0698522880293313</v>
      </c>
    </row>
    <row r="146" customFormat="false" ht="15" hidden="false" customHeight="false" outlineLevel="0" collapsed="false">
      <c r="A146" s="5" t="n">
        <v>45962</v>
      </c>
      <c r="B146" s="0" t="n">
        <v>2025</v>
      </c>
      <c r="C146" s="0" t="n">
        <v>53043</v>
      </c>
      <c r="D146" s="0" t="n">
        <v>4326</v>
      </c>
      <c r="E146" s="0" t="n">
        <v>105503</v>
      </c>
      <c r="F146" s="6" t="n">
        <f aca="false">C146/E146</f>
        <v>0.502762954607926</v>
      </c>
      <c r="G146" s="0" t="n">
        <v>764064</v>
      </c>
      <c r="H146" s="6" t="n">
        <f aca="false">C146/G146</f>
        <v>0.0694221949993718</v>
      </c>
    </row>
    <row r="147" customFormat="false" ht="15" hidden="false" customHeight="false" outlineLevel="0" collapsed="false">
      <c r="A147" s="5" t="n">
        <v>45992</v>
      </c>
      <c r="B147" s="0" t="n">
        <v>2025</v>
      </c>
      <c r="C147" s="0" t="n">
        <v>55461</v>
      </c>
      <c r="D147" s="0" t="n">
        <v>4488</v>
      </c>
      <c r="E147" s="0" t="n">
        <v>107066</v>
      </c>
      <c r="F147" s="6" t="n">
        <f aca="false">C147/E147</f>
        <v>0.518007584106999</v>
      </c>
      <c r="G147" s="0" t="n">
        <v>750768</v>
      </c>
      <c r="H147" s="6" t="n">
        <f aca="false">C147/G147</f>
        <v>0.0738723547087782</v>
      </c>
    </row>
    <row r="148" customFormat="false" ht="15" hidden="false" customHeight="false" outlineLevel="0" collapsed="false">
      <c r="A148" s="5" t="n">
        <v>46023</v>
      </c>
      <c r="B148" s="0" t="n">
        <v>2026</v>
      </c>
      <c r="C148" s="0" t="n">
        <v>56211</v>
      </c>
      <c r="D148" s="0" t="n">
        <v>4477</v>
      </c>
      <c r="E148" s="0" t="n">
        <v>105913</v>
      </c>
      <c r="F148" s="6" t="n">
        <f aca="false">C148/E148</f>
        <v>0.530728050380973</v>
      </c>
      <c r="G148" s="0" t="n">
        <v>748601</v>
      </c>
      <c r="H148" s="6" t="n">
        <f aca="false">C148/G148</f>
        <v>0.0750880642692168</v>
      </c>
    </row>
    <row r="149" customFormat="false" ht="15" hidden="false" customHeight="false" outlineLevel="0" collapsed="false">
      <c r="A149" s="5" t="n">
        <v>46054</v>
      </c>
      <c r="B149" s="0" t="n">
        <v>2026</v>
      </c>
      <c r="C149" s="0" t="n">
        <v>57361</v>
      </c>
      <c r="D149" s="0" t="n">
        <v>4466</v>
      </c>
      <c r="E149" s="0" t="n">
        <v>106772</v>
      </c>
      <c r="F149" s="6" t="n">
        <f aca="false">C149/E149</f>
        <v>0.53722886149927</v>
      </c>
      <c r="G149" s="0" t="n">
        <v>747319</v>
      </c>
      <c r="H149" s="6" t="n">
        <f aca="false">C149/G149</f>
        <v>0.0767557094092349</v>
      </c>
    </row>
    <row r="150" customFormat="false" ht="15" hidden="false" customHeight="false" outlineLevel="0" collapsed="false">
      <c r="A150" s="5" t="n">
        <v>46082</v>
      </c>
      <c r="B150" s="0" t="n">
        <v>2026</v>
      </c>
      <c r="C150" s="0" t="n">
        <v>58121</v>
      </c>
      <c r="D150" s="0" t="n">
        <v>4781</v>
      </c>
      <c r="E150" s="0" t="n">
        <v>107164</v>
      </c>
      <c r="F150" s="6" t="n">
        <f aca="false">C150/E150</f>
        <v>0.542355641820014</v>
      </c>
      <c r="G150" s="0" t="n">
        <v>745125</v>
      </c>
      <c r="H150" s="6" t="n">
        <f aca="false">C150/G150</f>
        <v>0.0780016775708774</v>
      </c>
    </row>
    <row r="151" customFormat="false" ht="15" hidden="false" customHeight="false" outlineLevel="0" collapsed="false">
      <c r="A151" s="5" t="n">
        <v>46113</v>
      </c>
      <c r="B151" s="0" t="n">
        <v>2026</v>
      </c>
      <c r="C151" s="0" t="n">
        <v>61859</v>
      </c>
      <c r="D151" s="0" t="n">
        <v>5198</v>
      </c>
      <c r="E151" s="0" t="n">
        <v>111220</v>
      </c>
      <c r="F151" s="6" t="n">
        <f aca="false">C151/E151</f>
        <v>0.556185937780975</v>
      </c>
      <c r="G151" s="0" t="n">
        <v>745266</v>
      </c>
      <c r="H151" s="6" t="n">
        <f aca="false">C151/G151</f>
        <v>0.0830025789449673</v>
      </c>
    </row>
    <row r="152" customFormat="false" ht="15" hidden="false" customHeight="false" outlineLevel="0" collapsed="false">
      <c r="A152" s="5" t="n">
        <v>46143</v>
      </c>
      <c r="B152" s="0" t="n">
        <v>2026</v>
      </c>
      <c r="C152" s="0" t="n">
        <v>65688</v>
      </c>
      <c r="D152" s="0" t="n">
        <v>5627</v>
      </c>
      <c r="E152" s="0" t="n">
        <v>115159</v>
      </c>
      <c r="F152" s="6" t="n">
        <f aca="false">C152/E152</f>
        <v>0.570411344315251</v>
      </c>
      <c r="G152" s="0" t="n">
        <v>749441</v>
      </c>
      <c r="H152" s="6" t="n">
        <f aca="false">C152/G152</f>
        <v>0.0876493279657772</v>
      </c>
    </row>
    <row r="153" customFormat="false" ht="15" hidden="false" customHeight="false" outlineLevel="0" collapsed="false">
      <c r="A153" s="5" t="n">
        <v>46174</v>
      </c>
      <c r="B153" s="0" t="n">
        <v>2026</v>
      </c>
      <c r="C153" s="0" t="n">
        <v>70755</v>
      </c>
      <c r="D153" s="0" t="n">
        <v>6122</v>
      </c>
      <c r="E153" s="0" t="n">
        <v>119328</v>
      </c>
      <c r="F153" s="6" t="n">
        <f aca="false">C153/E153</f>
        <v>0.592945494770716</v>
      </c>
      <c r="G153" s="0" t="n">
        <v>752375</v>
      </c>
      <c r="H153" s="6" t="n">
        <f aca="false">C153/G153</f>
        <v>0.094042199700947</v>
      </c>
    </row>
    <row r="154" customFormat="false" ht="15" hidden="false" customHeight="false" outlineLevel="0" collapsed="false">
      <c r="A154" s="5" t="n">
        <v>46204</v>
      </c>
      <c r="B154" s="0" t="n">
        <v>2026</v>
      </c>
      <c r="C154" s="0" t="n">
        <v>75166</v>
      </c>
      <c r="D154" s="0" t="n">
        <v>6551</v>
      </c>
      <c r="E154" s="0" t="n">
        <v>123318</v>
      </c>
      <c r="F154" s="6" t="n">
        <f aca="false">C154/E154</f>
        <v>0.609529833438752</v>
      </c>
      <c r="G154" s="0" t="n">
        <v>755169</v>
      </c>
      <c r="H154" s="6" t="n">
        <f aca="false">C154/G154</f>
        <v>0.0995353357990066</v>
      </c>
    </row>
    <row r="156" customFormat="false" ht="15" hidden="false" customHeight="false" outlineLevel="0" collapsed="false">
      <c r="A156" s="7" t="s">
        <v>85</v>
      </c>
    </row>
    <row r="158" customFormat="false" ht="15" hidden="false" customHeight="false" outlineLevel="0" collapsed="false">
      <c r="A158" s="4" t="s">
        <v>86</v>
      </c>
    </row>
    <row r="159" customFormat="false" ht="68.65" hidden="false" customHeight="false" outlineLevel="0" collapsed="false">
      <c r="A159" s="2" t="s">
        <v>78</v>
      </c>
      <c r="B159" s="2" t="s">
        <v>87</v>
      </c>
      <c r="C159" s="2" t="s">
        <v>88</v>
      </c>
      <c r="D159" s="2" t="s">
        <v>89</v>
      </c>
      <c r="E159" s="2" t="s">
        <v>90</v>
      </c>
    </row>
    <row r="160" customFormat="false" ht="15" hidden="false" customHeight="false" outlineLevel="0" collapsed="false">
      <c r="A160" s="0" t="n">
        <v>2014</v>
      </c>
      <c r="B160" s="0" t="n">
        <f aca="false">SUMIFS($D$4:$D$154,$B$4:$B$154,2014)</f>
        <v>1797</v>
      </c>
      <c r="D160" s="0" t="n">
        <f aca="false">SUMIFS($D$4:$D$154,$B$4:$B$154,2014,$A$4:$A$154,"&lt;"&amp;DATE(2014,8,1))</f>
        <v>994</v>
      </c>
    </row>
    <row r="161" customFormat="false" ht="15" hidden="false" customHeight="false" outlineLevel="0" collapsed="false">
      <c r="A161" s="0" t="n">
        <v>2015</v>
      </c>
      <c r="B161" s="0" t="n">
        <f aca="false">SUMIFS($D$4:$D$154,$B$4:$B$154,2015)</f>
        <v>2745</v>
      </c>
      <c r="C161" s="6" t="n">
        <f aca="false">B161/B160-1</f>
        <v>0.52754590984975</v>
      </c>
      <c r="D161" s="8" t="n">
        <f aca="false">SUMIFS($D$4:$D$154,$B$4:$B$154,2015,$A$4:$A$154,"&lt;"&amp;DATE(2015,8,1))</f>
        <v>1506</v>
      </c>
      <c r="E161" s="6" t="n">
        <f aca="false">D161/D160-1</f>
        <v>0.515090543259557</v>
      </c>
    </row>
    <row r="162" customFormat="false" ht="15" hidden="false" customHeight="false" outlineLevel="0" collapsed="false">
      <c r="A162" s="0" t="n">
        <v>2016</v>
      </c>
      <c r="B162" s="0" t="n">
        <f aca="false">SUMIFS($D$4:$D$154,$B$4:$B$154,2016)</f>
        <v>4121</v>
      </c>
      <c r="C162" s="6" t="n">
        <f aca="false">B162/B161-1</f>
        <v>0.501275045537341</v>
      </c>
      <c r="D162" s="8" t="n">
        <f aca="false">SUMIFS($D$4:$D$154,$B$4:$B$154,2016,$A$4:$A$154,"&lt;"&amp;DATE(2016,8,1))</f>
        <v>2334</v>
      </c>
      <c r="E162" s="6" t="n">
        <f aca="false">D162/D161-1</f>
        <v>0.549800796812749</v>
      </c>
    </row>
    <row r="163" customFormat="false" ht="15" hidden="false" customHeight="false" outlineLevel="0" collapsed="false">
      <c r="A163" s="0" t="n">
        <v>2017</v>
      </c>
      <c r="B163" s="0" t="n">
        <f aca="false">SUMIFS($D$4:$D$154,$B$4:$B$154,2017)</f>
        <v>4667</v>
      </c>
      <c r="C163" s="6" t="n">
        <f aca="false">B163/B162-1</f>
        <v>0.132492113564669</v>
      </c>
      <c r="D163" s="8" t="n">
        <f aca="false">SUMIFS($D$4:$D$154,$B$4:$B$154,2017,$A$4:$A$154,"&lt;"&amp;DATE(2017,8,1))</f>
        <v>2555</v>
      </c>
      <c r="E163" s="6" t="n">
        <f aca="false">D163/D162-1</f>
        <v>0.0946872322193659</v>
      </c>
    </row>
    <row r="164" customFormat="false" ht="15" hidden="false" customHeight="false" outlineLevel="0" collapsed="false">
      <c r="A164" s="0" t="n">
        <v>2018</v>
      </c>
      <c r="B164" s="0" t="n">
        <f aca="false">SUMIFS($D$4:$D$154,$B$4:$B$154,2018)</f>
        <v>6933</v>
      </c>
      <c r="C164" s="6" t="n">
        <f aca="false">B164/B163-1</f>
        <v>0.485536747375188</v>
      </c>
      <c r="D164" s="8" t="n">
        <f aca="false">SUMIFS($D$4:$D$154,$B$4:$B$154,2018,$A$4:$A$154,"&lt;"&amp;DATE(2018,8,1))</f>
        <v>3907</v>
      </c>
      <c r="E164" s="6" t="n">
        <f aca="false">D164/D163-1</f>
        <v>0.529158512720157</v>
      </c>
    </row>
    <row r="165" customFormat="false" ht="15" hidden="false" customHeight="false" outlineLevel="0" collapsed="false">
      <c r="A165" s="0" t="n">
        <v>2019</v>
      </c>
      <c r="B165" s="0" t="n">
        <f aca="false">SUMIFS($D$4:$D$154,$B$4:$B$154,2019)</f>
        <v>8483</v>
      </c>
      <c r="C165" s="6" t="n">
        <f aca="false">B165/B164-1</f>
        <v>0.223568440790423</v>
      </c>
      <c r="D165" s="8" t="n">
        <f aca="false">SUMIFS($D$4:$D$154,$B$4:$B$154,2019,$A$4:$A$154,"&lt;"&amp;DATE(2019,8,1))</f>
        <v>4839</v>
      </c>
      <c r="E165" s="6" t="n">
        <f aca="false">D165/D164-1</f>
        <v>0.238546199129767</v>
      </c>
    </row>
    <row r="166" customFormat="false" ht="15" hidden="false" customHeight="false" outlineLevel="0" collapsed="false">
      <c r="A166" s="0" t="n">
        <v>2020</v>
      </c>
      <c r="B166" s="0" t="n">
        <f aca="false">SUMIFS($D$4:$D$154,$B$4:$B$154,2020)</f>
        <v>9231</v>
      </c>
      <c r="C166" s="6" t="n">
        <f aca="false">B166/B165-1</f>
        <v>0.0881763527054109</v>
      </c>
      <c r="D166" s="8" t="n">
        <f aca="false">SUMIFS($D$4:$D$154,$B$4:$B$154,2020,$A$4:$A$154,"&lt;"&amp;DATE(2020,8,1))</f>
        <v>5294</v>
      </c>
      <c r="E166" s="6" t="n">
        <f aca="false">D166/D165-1</f>
        <v>0.094027691671833</v>
      </c>
    </row>
    <row r="167" customFormat="false" ht="15" hidden="false" customHeight="false" outlineLevel="0" collapsed="false">
      <c r="A167" s="0" t="n">
        <v>2021</v>
      </c>
      <c r="B167" s="0" t="n">
        <f aca="false">SUMIFS($D$4:$D$154,$B$4:$B$154,2021)</f>
        <v>9949</v>
      </c>
      <c r="C167" s="6" t="n">
        <f aca="false">B167/B166-1</f>
        <v>0.0777813887986134</v>
      </c>
      <c r="D167" s="8" t="n">
        <f aca="false">SUMIFS($D$4:$D$154,$B$4:$B$154,2021,$A$4:$A$154,"&lt;"&amp;DATE(2021,8,1))</f>
        <v>5498</v>
      </c>
      <c r="E167" s="6" t="n">
        <f aca="false">D167/D166-1</f>
        <v>0.0385341896486588</v>
      </c>
    </row>
    <row r="168" customFormat="false" ht="15" hidden="false" customHeight="false" outlineLevel="0" collapsed="false">
      <c r="A168" s="0" t="n">
        <v>2022</v>
      </c>
      <c r="B168" s="0" t="n">
        <f aca="false">SUMIFS($D$4:$D$154,$B$4:$B$154,2022)</f>
        <v>12583</v>
      </c>
      <c r="C168" s="6" t="n">
        <f aca="false">B168/B167-1</f>
        <v>0.264750226153382</v>
      </c>
      <c r="D168" s="8" t="n">
        <f aca="false">SUMIFS($D$4:$D$154,$B$4:$B$154,2022,$A$4:$A$154,"&lt;"&amp;DATE(2022,8,1))</f>
        <v>6798</v>
      </c>
      <c r="E168" s="6" t="n">
        <f aca="false">D168/D167-1</f>
        <v>0.236449618042925</v>
      </c>
    </row>
    <row r="169" customFormat="false" ht="15" hidden="false" customHeight="false" outlineLevel="0" collapsed="false">
      <c r="A169" s="0" t="n">
        <v>2023</v>
      </c>
      <c r="B169" s="0" t="n">
        <f aca="false">SUMIFS($D$4:$D$154,$B$4:$B$154,2023)</f>
        <v>19995</v>
      </c>
      <c r="C169" s="6" t="n">
        <f aca="false">B169/B168-1</f>
        <v>0.589048716522292</v>
      </c>
      <c r="D169" s="8" t="n">
        <f aca="false">SUMIFS($D$4:$D$154,$B$4:$B$154,2023,$A$4:$A$154,"&lt;"&amp;DATE(2023,8,1))</f>
        <v>10426</v>
      </c>
      <c r="E169" s="6" t="n">
        <f aca="false">D169/D168-1</f>
        <v>0.533686378346573</v>
      </c>
    </row>
    <row r="170" customFormat="false" ht="15" hidden="false" customHeight="false" outlineLevel="0" collapsed="false">
      <c r="A170" s="0" t="n">
        <v>2024</v>
      </c>
      <c r="B170" s="0" t="n">
        <f aca="false">SUMIFS($D$4:$D$154,$B$4:$B$154,2024)</f>
        <v>34797</v>
      </c>
      <c r="C170" s="6" t="n">
        <f aca="false">B170/B169-1</f>
        <v>0.740285071267817</v>
      </c>
      <c r="D170" s="8" t="n">
        <f aca="false">SUMIFS($D$4:$D$154,$B$4:$B$154,2024,$A$4:$A$154,"&lt;"&amp;DATE(2024,8,1))</f>
        <v>17950</v>
      </c>
      <c r="E170" s="6" t="n">
        <f aca="false">D170/D169-1</f>
        <v>0.721657394974103</v>
      </c>
    </row>
    <row r="171" customFormat="false" ht="15" hidden="false" customHeight="false" outlineLevel="0" collapsed="false">
      <c r="A171" s="0" t="n">
        <v>2025</v>
      </c>
      <c r="B171" s="0" t="n">
        <f aca="false">SUMIFS($D$4:$D$154,$B$4:$B$154,2025)</f>
        <v>49737</v>
      </c>
      <c r="C171" s="6" t="n">
        <f aca="false">B171/B170-1</f>
        <v>0.429347357530822</v>
      </c>
      <c r="D171" s="8" t="n">
        <f aca="false">SUMIFS($D$4:$D$154,$B$4:$B$154,2025,$A$4:$A$154,"&lt;"&amp;DATE(2025,8,1))</f>
        <v>27608</v>
      </c>
      <c r="E171" s="6" t="n">
        <f aca="false">D171/D170-1</f>
        <v>0.538050139275766</v>
      </c>
    </row>
    <row r="172" customFormat="false" ht="15" hidden="false" customHeight="false" outlineLevel="0" collapsed="false">
      <c r="A172" s="0" t="n">
        <v>2026</v>
      </c>
      <c r="B172" s="0" t="n">
        <f aca="false">SUMIFS($D$4:$D$154,$B$4:$B$154,2026)</f>
        <v>37222</v>
      </c>
      <c r="C172" s="6" t="n">
        <f aca="false">B172/B171-1</f>
        <v>-0.25162353981945</v>
      </c>
      <c r="D172" s="8" t="n">
        <f aca="false">SUMIFS($D$4:$D$154,$B$4:$B$154,2026,$A$4:$A$154,"&lt;"&amp;DATE(2026,8,1))</f>
        <v>37222</v>
      </c>
      <c r="E172" s="6" t="n">
        <f aca="false">D172/D171-1</f>
        <v>0.348232396406839</v>
      </c>
    </row>
    <row r="173" customFormat="false" ht="15" hidden="false" customHeight="false" outlineLevel="0" collapsed="false">
      <c r="A173" s="7" t="s">
        <v>91</v>
      </c>
      <c r="B173" s="8" t="n">
        <f aca="false">SUM(B168:B172)</f>
        <v>154334</v>
      </c>
    </row>
    <row r="174" customFormat="false" ht="15" hidden="false" customHeight="false" outlineLevel="0" collapsed="false">
      <c r="A174" s="7" t="s">
        <v>92</v>
      </c>
      <c r="B174" s="8" t="n">
        <f aca="false">SUM(B168:B170)</f>
        <v>67375</v>
      </c>
    </row>
  </sheetData>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20"/>
    <col collapsed="false" customWidth="true" hidden="false" outlineLevel="0" max="3" min="3" style="0" width="12"/>
    <col collapsed="false" customWidth="true" hidden="false" outlineLevel="0" max="4" min="4" style="0" width="34"/>
    <col collapsed="false" customWidth="true" hidden="false" outlineLevel="0" max="6" min="5" style="0" width="14"/>
    <col collapsed="false" customWidth="true" hidden="false" outlineLevel="0" max="8" min="7" style="0" width="12"/>
    <col collapsed="false" customWidth="true" hidden="false" outlineLevel="0" max="9" min="9" style="0" width="14"/>
    <col collapsed="false" customWidth="true" hidden="false" outlineLevel="0" max="10" min="10" style="0" width="50"/>
    <col collapsed="false" customWidth="true" hidden="false" outlineLevel="0" max="11" min="11" style="0" width="40"/>
  </cols>
  <sheetData>
    <row r="1" customFormat="false" ht="15" hidden="false" customHeight="false" outlineLevel="0" collapsed="false">
      <c r="A1" s="4" t="s">
        <v>93</v>
      </c>
    </row>
    <row r="3" customFormat="false" ht="41.75" hidden="false" customHeight="false" outlineLevel="0" collapsed="false">
      <c r="A3" s="2" t="s">
        <v>94</v>
      </c>
      <c r="B3" s="2" t="s">
        <v>95</v>
      </c>
      <c r="C3" s="2" t="s">
        <v>96</v>
      </c>
      <c r="D3" s="2" t="s">
        <v>97</v>
      </c>
      <c r="E3" s="2" t="s">
        <v>98</v>
      </c>
      <c r="F3" s="2" t="s">
        <v>99</v>
      </c>
      <c r="G3" s="2" t="s">
        <v>100</v>
      </c>
      <c r="H3" s="2" t="s">
        <v>101</v>
      </c>
      <c r="I3" s="2" t="s">
        <v>102</v>
      </c>
      <c r="J3" s="2" t="s">
        <v>103</v>
      </c>
      <c r="K3" s="2" t="s">
        <v>104</v>
      </c>
    </row>
    <row r="4" customFormat="false" ht="48" hidden="false" customHeight="true" outlineLevel="0" collapsed="false">
      <c r="A4" s="3" t="s">
        <v>105</v>
      </c>
      <c r="B4" s="3" t="s">
        <v>106</v>
      </c>
      <c r="C4" s="3" t="n">
        <v>44.924</v>
      </c>
      <c r="D4" s="3" t="s">
        <v>107</v>
      </c>
      <c r="E4" s="3" t="n">
        <v>39.069</v>
      </c>
      <c r="F4" s="3" t="n">
        <v>-5.855</v>
      </c>
      <c r="G4" s="3" t="n">
        <v>195</v>
      </c>
      <c r="H4" s="3" t="n">
        <v>205</v>
      </c>
      <c r="I4" s="3" t="s">
        <v>108</v>
      </c>
      <c r="J4" s="3" t="s">
        <v>109</v>
      </c>
      <c r="K4" s="3" t="s">
        <v>110</v>
      </c>
    </row>
    <row r="5" customFormat="false" ht="48" hidden="false" customHeight="true" outlineLevel="0" collapsed="false">
      <c r="A5" s="3" t="s">
        <v>111</v>
      </c>
      <c r="B5" s="3" t="s">
        <v>106</v>
      </c>
      <c r="C5" s="3" t="n">
        <v>54.208</v>
      </c>
      <c r="D5" s="3" t="s">
        <v>112</v>
      </c>
      <c r="E5" s="3" t="n">
        <v>45.387</v>
      </c>
      <c r="F5" s="3"/>
      <c r="G5" s="3" t="n">
        <v>220</v>
      </c>
      <c r="H5" s="3" t="n">
        <v>220</v>
      </c>
      <c r="I5" s="3" t="s">
        <v>113</v>
      </c>
      <c r="J5" s="3" t="s">
        <v>114</v>
      </c>
      <c r="K5" s="3" t="s">
        <v>115</v>
      </c>
    </row>
    <row r="6" customFormat="false" ht="48" hidden="false" customHeight="true" outlineLevel="0" collapsed="false">
      <c r="A6" s="3" t="s">
        <v>116</v>
      </c>
      <c r="B6" s="3" t="s">
        <v>106</v>
      </c>
      <c r="C6" s="3" t="n">
        <v>31.08</v>
      </c>
      <c r="D6" s="3" t="s">
        <v>117</v>
      </c>
      <c r="E6" s="3" t="n">
        <v>31.86</v>
      </c>
      <c r="F6" s="3" t="n">
        <v>0.784</v>
      </c>
      <c r="G6" s="3" t="n">
        <v>130</v>
      </c>
      <c r="H6" s="3" t="n">
        <v>145</v>
      </c>
      <c r="I6" s="3" t="s">
        <v>118</v>
      </c>
      <c r="J6" s="3" t="s">
        <v>119</v>
      </c>
      <c r="K6" s="3" t="s">
        <v>120</v>
      </c>
    </row>
    <row r="7" customFormat="false" ht="48" hidden="false" customHeight="true" outlineLevel="0" collapsed="false">
      <c r="A7" s="3" t="s">
        <v>121</v>
      </c>
      <c r="B7" s="3" t="s">
        <v>122</v>
      </c>
      <c r="C7" s="3" t="n">
        <v>41</v>
      </c>
      <c r="D7" s="3" t="s">
        <v>123</v>
      </c>
      <c r="E7" s="3" t="n">
        <v>55.4</v>
      </c>
      <c r="F7" s="3" t="n">
        <v>19.6</v>
      </c>
      <c r="G7" s="3" t="n">
        <v>175</v>
      </c>
      <c r="H7" s="3" t="n">
        <v>175</v>
      </c>
      <c r="I7" s="3" t="s">
        <v>74</v>
      </c>
      <c r="J7" s="3" t="s">
        <v>124</v>
      </c>
      <c r="K7" s="3" t="s">
        <v>125</v>
      </c>
    </row>
    <row r="9" customFormat="false" ht="15" hidden="false" customHeight="false" outlineLevel="0" collapsed="false">
      <c r="A9" s="4" t="s">
        <v>126</v>
      </c>
      <c r="G9" s="8" t="n">
        <f aca="false">SUM(G4:G7)</f>
        <v>720</v>
      </c>
      <c r="H9" s="8" t="n">
        <f aca="false">SUM(H4:H7)</f>
        <v>745</v>
      </c>
    </row>
    <row r="10" customFormat="false" ht="15" hidden="false" customHeight="false" outlineLevel="0" collapsed="false">
      <c r="A10" s="4" t="s">
        <v>127</v>
      </c>
      <c r="G10" s="8" t="n">
        <f aca="false">(G9+H9)/2</f>
        <v>732.5</v>
      </c>
    </row>
    <row r="12" customFormat="false" ht="18" hidden="false" customHeight="true" outlineLevel="0" collapsed="false">
      <c r="A12" s="9" t="s">
        <v>128</v>
      </c>
      <c r="B12" s="9"/>
      <c r="C12" s="9"/>
      <c r="D12" s="9"/>
      <c r="E12" s="9"/>
      <c r="F12" s="9"/>
      <c r="G12" s="9"/>
      <c r="H12" s="9"/>
      <c r="I12" s="9"/>
      <c r="J12" s="9"/>
      <c r="K12" s="9"/>
    </row>
  </sheetData>
  <mergeCells count="1">
    <mergeCell ref="A12:K12"/>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12"/>
    <col collapsed="false" customWidth="true" hidden="false" outlineLevel="0" max="3" min="3" style="0" width="60"/>
    <col collapsed="false" customWidth="true" hidden="false" outlineLevel="0" max="4" min="4" style="0" width="10"/>
    <col collapsed="false" customWidth="true" hidden="false" outlineLevel="0" max="6" min="5" style="0" width="30"/>
  </cols>
  <sheetData>
    <row r="1" customFormat="false" ht="15" hidden="false" customHeight="false" outlineLevel="0" collapsed="false">
      <c r="A1" s="4" t="s">
        <v>129</v>
      </c>
    </row>
    <row r="3" customFormat="false" ht="28.35" hidden="false" customHeight="false" outlineLevel="0" collapsed="false">
      <c r="A3" s="2" t="s">
        <v>130</v>
      </c>
      <c r="B3" s="2" t="s">
        <v>131</v>
      </c>
      <c r="C3" s="2" t="s">
        <v>132</v>
      </c>
      <c r="D3" s="2" t="s">
        <v>133</v>
      </c>
      <c r="E3" s="2" t="s">
        <v>134</v>
      </c>
      <c r="F3" s="2" t="s">
        <v>135</v>
      </c>
    </row>
    <row r="4" customFormat="false" ht="48" hidden="false" customHeight="true" outlineLevel="0" collapsed="false">
      <c r="A4" s="3" t="s">
        <v>136</v>
      </c>
      <c r="B4" s="10" t="n">
        <f aca="false">'Hyperscaler Capex'!G10</f>
        <v>732.5</v>
      </c>
      <c r="C4" s="3" t="s">
        <v>137</v>
      </c>
      <c r="D4" s="3" t="s">
        <v>138</v>
      </c>
      <c r="E4" s="3" t="s">
        <v>139</v>
      </c>
      <c r="F4" s="3" t="s">
        <v>140</v>
      </c>
    </row>
    <row r="5" customFormat="false" ht="48" hidden="false" customHeight="true" outlineLevel="0" collapsed="false">
      <c r="A5" s="3" t="s">
        <v>141</v>
      </c>
      <c r="B5" s="10" t="n">
        <f aca="false">84.1*12/7</f>
        <v>144.171428571429</v>
      </c>
      <c r="C5" s="3" t="s">
        <v>142</v>
      </c>
      <c r="D5" s="3" t="s">
        <v>143</v>
      </c>
      <c r="E5" s="3" t="s">
        <v>144</v>
      </c>
      <c r="F5" s="3" t="s">
        <v>28</v>
      </c>
    </row>
    <row r="6" customFormat="false" ht="48" hidden="false" customHeight="true" outlineLevel="0" collapsed="false">
      <c r="A6" s="3" t="s">
        <v>145</v>
      </c>
      <c r="B6" s="10" t="n">
        <f aca="false">'Scale Context'!D4</f>
        <v>63.7714285714286</v>
      </c>
      <c r="C6" s="3" t="s">
        <v>146</v>
      </c>
      <c r="D6" s="3" t="s">
        <v>143</v>
      </c>
      <c r="E6" s="3" t="s">
        <v>147</v>
      </c>
      <c r="F6" s="3" t="s">
        <v>12</v>
      </c>
    </row>
  </sheetData>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2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16"/>
    <col collapsed="false" customWidth="true" hidden="false" outlineLevel="0" max="3" min="3" style="0" width="10"/>
    <col collapsed="false" customWidth="true" hidden="false" outlineLevel="0" max="4" min="4" style="0" width="14"/>
    <col collapsed="false" customWidth="true" hidden="false" outlineLevel="0" max="5" min="5" style="0" width="50"/>
    <col collapsed="false" customWidth="true" hidden="false" outlineLevel="0" max="6" min="6" style="0" width="44"/>
    <col collapsed="false" customWidth="true" hidden="false" outlineLevel="0" max="7" min="7" style="0" width="40"/>
  </cols>
  <sheetData>
    <row r="1" customFormat="false" ht="48" hidden="false" customHeight="true" outlineLevel="0" collapsed="false">
      <c r="A1" s="11" t="s">
        <v>148</v>
      </c>
      <c r="B1" s="11"/>
      <c r="C1" s="11"/>
      <c r="D1" s="11"/>
      <c r="E1" s="11"/>
      <c r="F1" s="11"/>
      <c r="G1" s="11"/>
    </row>
    <row r="2" customFormat="false" ht="18" hidden="false" customHeight="true" outlineLevel="0" collapsed="false">
      <c r="A2" s="9" t="s">
        <v>149</v>
      </c>
      <c r="B2" s="9"/>
      <c r="C2" s="9"/>
      <c r="D2" s="9"/>
      <c r="E2" s="9"/>
      <c r="F2" s="9"/>
      <c r="G2" s="9"/>
    </row>
    <row r="4" customFormat="false" ht="41.75" hidden="false" customHeight="false" outlineLevel="0" collapsed="false">
      <c r="A4" s="2" t="s">
        <v>150</v>
      </c>
      <c r="B4" s="2" t="s">
        <v>151</v>
      </c>
      <c r="C4" s="2" t="s">
        <v>152</v>
      </c>
      <c r="D4" s="2" t="s">
        <v>153</v>
      </c>
      <c r="E4" s="2" t="s">
        <v>154</v>
      </c>
      <c r="F4" s="2" t="s">
        <v>155</v>
      </c>
      <c r="G4" s="2" t="s">
        <v>135</v>
      </c>
    </row>
    <row r="5" customFormat="false" ht="39.75" hidden="false" customHeight="true" outlineLevel="0" collapsed="false">
      <c r="A5" s="3" t="s">
        <v>156</v>
      </c>
      <c r="B5" s="12" t="n">
        <v>0.07</v>
      </c>
      <c r="C5" s="10" t="n">
        <f aca="false">B5*20</f>
        <v>1.4</v>
      </c>
      <c r="D5" s="12" t="n">
        <f aca="false">C5/$C$13</f>
        <v>0.028</v>
      </c>
      <c r="E5" s="3" t="s">
        <v>157</v>
      </c>
      <c r="F5" s="3" t="s">
        <v>158</v>
      </c>
      <c r="G5" s="3" t="s">
        <v>159</v>
      </c>
    </row>
    <row r="6" customFormat="false" ht="39.75" hidden="false" customHeight="true" outlineLevel="0" collapsed="false">
      <c r="A6" s="3" t="s">
        <v>160</v>
      </c>
      <c r="B6" s="12" t="n">
        <v>0.17</v>
      </c>
      <c r="C6" s="10" t="n">
        <f aca="false">B6*20</f>
        <v>3.4</v>
      </c>
      <c r="D6" s="12" t="n">
        <f aca="false">C6/$C$13</f>
        <v>0.068</v>
      </c>
      <c r="E6" s="3" t="s">
        <v>161</v>
      </c>
      <c r="F6" s="3" t="s">
        <v>162</v>
      </c>
      <c r="G6" s="3" t="s">
        <v>159</v>
      </c>
    </row>
    <row r="7" customFormat="false" ht="39.75" hidden="false" customHeight="true" outlineLevel="0" collapsed="false">
      <c r="A7" s="3" t="s">
        <v>163</v>
      </c>
      <c r="B7" s="12" t="n">
        <v>0.21</v>
      </c>
      <c r="C7" s="10" t="n">
        <f aca="false">B7*20</f>
        <v>4.2</v>
      </c>
      <c r="D7" s="12" t="n">
        <f aca="false">C7/$C$13</f>
        <v>0.084</v>
      </c>
      <c r="E7" s="3" t="s">
        <v>164</v>
      </c>
      <c r="F7" s="3" t="s">
        <v>165</v>
      </c>
      <c r="G7" s="3" t="s">
        <v>159</v>
      </c>
    </row>
    <row r="8" customFormat="false" ht="39.75" hidden="false" customHeight="true" outlineLevel="0" collapsed="false">
      <c r="A8" s="3" t="s">
        <v>166</v>
      </c>
      <c r="B8" s="12" t="n">
        <v>0.12</v>
      </c>
      <c r="C8" s="10" t="n">
        <f aca="false">B8*20</f>
        <v>2.4</v>
      </c>
      <c r="D8" s="12" t="n">
        <f aca="false">C8/$C$13</f>
        <v>0.048</v>
      </c>
      <c r="E8" s="3" t="s">
        <v>167</v>
      </c>
      <c r="F8" s="3" t="s">
        <v>162</v>
      </c>
      <c r="G8" s="3" t="s">
        <v>159</v>
      </c>
    </row>
    <row r="9" customFormat="false" ht="39.75" hidden="false" customHeight="true" outlineLevel="0" collapsed="false">
      <c r="A9" s="3" t="s">
        <v>168</v>
      </c>
      <c r="B9" s="12" t="n">
        <v>0.15</v>
      </c>
      <c r="C9" s="10" t="n">
        <f aca="false">B9*20</f>
        <v>3</v>
      </c>
      <c r="D9" s="12" t="n">
        <f aca="false">C9/$C$13</f>
        <v>0.06</v>
      </c>
      <c r="E9" s="3" t="s">
        <v>169</v>
      </c>
      <c r="F9" s="3" t="s">
        <v>170</v>
      </c>
      <c r="G9" s="3" t="s">
        <v>159</v>
      </c>
    </row>
    <row r="10" customFormat="false" ht="39.75" hidden="false" customHeight="true" outlineLevel="0" collapsed="false">
      <c r="A10" s="3" t="s">
        <v>171</v>
      </c>
      <c r="B10" s="12" t="n">
        <v>0.28</v>
      </c>
      <c r="C10" s="10" t="n">
        <f aca="false">B10*20</f>
        <v>5.6</v>
      </c>
      <c r="D10" s="12" t="n">
        <f aca="false">C10/$C$13</f>
        <v>0.112</v>
      </c>
      <c r="E10" s="3" t="s">
        <v>172</v>
      </c>
      <c r="F10" s="3" t="s">
        <v>173</v>
      </c>
      <c r="G10" s="3" t="s">
        <v>159</v>
      </c>
    </row>
    <row r="11" customFormat="false" ht="39.75" hidden="false" customHeight="true" outlineLevel="0" collapsed="false">
      <c r="A11" s="13" t="s">
        <v>174</v>
      </c>
      <c r="B11" s="14" t="n">
        <f aca="false">SUM(B5:B10)</f>
        <v>1</v>
      </c>
      <c r="C11" s="15" t="n">
        <f aca="false">SUM(C5:C10)</f>
        <v>20</v>
      </c>
      <c r="D11" s="14" t="n">
        <f aca="false">C11/$C$13</f>
        <v>0.4</v>
      </c>
      <c r="E11" s="3" t="s">
        <v>175</v>
      </c>
      <c r="F11" s="3"/>
      <c r="G11" s="3" t="s">
        <v>176</v>
      </c>
    </row>
    <row r="12" customFormat="false" ht="39.75" hidden="false" customHeight="true" outlineLevel="0" collapsed="false">
      <c r="A12" s="3" t="s">
        <v>177</v>
      </c>
      <c r="B12" s="3"/>
      <c r="C12" s="10" t="n">
        <v>30</v>
      </c>
      <c r="D12" s="12" t="n">
        <f aca="false">C12/$C$13</f>
        <v>0.6</v>
      </c>
      <c r="E12" s="3" t="s">
        <v>178</v>
      </c>
      <c r="F12" s="3" t="s">
        <v>179</v>
      </c>
      <c r="G12" s="3" t="s">
        <v>180</v>
      </c>
    </row>
    <row r="13" customFormat="false" ht="39.75" hidden="false" customHeight="true" outlineLevel="0" collapsed="false">
      <c r="A13" s="13" t="s">
        <v>181</v>
      </c>
      <c r="B13" s="13"/>
      <c r="C13" s="15" t="n">
        <f aca="false">C11+C12</f>
        <v>50</v>
      </c>
      <c r="D13" s="14" t="n">
        <f aca="false">C13/$C$13</f>
        <v>1</v>
      </c>
      <c r="E13" s="3"/>
      <c r="F13" s="3"/>
      <c r="G13" s="3"/>
    </row>
    <row r="15" customFormat="false" ht="79.5" hidden="false" customHeight="true" outlineLevel="0" collapsed="false">
      <c r="A15" s="9" t="s">
        <v>182</v>
      </c>
      <c r="B15" s="9"/>
      <c r="C15" s="9"/>
      <c r="D15" s="9"/>
      <c r="E15" s="9"/>
      <c r="F15" s="9"/>
      <c r="G15" s="9"/>
    </row>
    <row r="16" customFormat="false" ht="48" hidden="false" customHeight="true" outlineLevel="0" collapsed="false">
      <c r="A16" s="9" t="s">
        <v>183</v>
      </c>
      <c r="B16" s="9"/>
      <c r="C16" s="9"/>
      <c r="D16" s="9"/>
      <c r="E16" s="9"/>
      <c r="F16" s="9"/>
      <c r="G16" s="9"/>
    </row>
    <row r="18" customFormat="false" ht="15" hidden="false" customHeight="false" outlineLevel="0" collapsed="false">
      <c r="A18" s="2" t="s">
        <v>184</v>
      </c>
      <c r="B18" s="2" t="s">
        <v>152</v>
      </c>
    </row>
    <row r="19" customFormat="false" ht="15" hidden="false" customHeight="false" outlineLevel="0" collapsed="false">
      <c r="A19" s="0" t="s">
        <v>185</v>
      </c>
      <c r="B19" s="16" t="n">
        <f aca="false">C5</f>
        <v>1.4</v>
      </c>
    </row>
    <row r="20" customFormat="false" ht="15" hidden="false" customHeight="false" outlineLevel="0" collapsed="false">
      <c r="A20" s="0" t="s">
        <v>186</v>
      </c>
      <c r="B20" s="16" t="n">
        <f aca="false">C6</f>
        <v>3.4</v>
      </c>
    </row>
    <row r="21" customFormat="false" ht="15" hidden="false" customHeight="false" outlineLevel="0" collapsed="false">
      <c r="A21" s="0" t="s">
        <v>163</v>
      </c>
      <c r="B21" s="16" t="n">
        <f aca="false">C7</f>
        <v>4.2</v>
      </c>
    </row>
    <row r="22" customFormat="false" ht="15" hidden="false" customHeight="false" outlineLevel="0" collapsed="false">
      <c r="A22" s="0" t="s">
        <v>187</v>
      </c>
      <c r="B22" s="16" t="n">
        <f aca="false">C8</f>
        <v>2.4</v>
      </c>
    </row>
    <row r="23" customFormat="false" ht="15" hidden="false" customHeight="false" outlineLevel="0" collapsed="false">
      <c r="A23" s="0" t="s">
        <v>188</v>
      </c>
      <c r="B23" s="16" t="n">
        <f aca="false">C9</f>
        <v>3</v>
      </c>
    </row>
    <row r="24" customFormat="false" ht="15" hidden="false" customHeight="false" outlineLevel="0" collapsed="false">
      <c r="A24" s="0" t="s">
        <v>189</v>
      </c>
      <c r="B24" s="16" t="n">
        <f aca="false">C10</f>
        <v>5.6</v>
      </c>
    </row>
    <row r="25" customFormat="false" ht="15" hidden="false" customHeight="false" outlineLevel="0" collapsed="false">
      <c r="A25" s="0" t="s">
        <v>190</v>
      </c>
      <c r="B25" s="16" t="n">
        <f aca="false">C11</f>
        <v>20</v>
      </c>
    </row>
    <row r="26" customFormat="false" ht="15" hidden="false" customHeight="false" outlineLevel="0" collapsed="false">
      <c r="A26" s="0" t="s">
        <v>191</v>
      </c>
      <c r="B26" s="16" t="n">
        <f aca="false">C12</f>
        <v>30</v>
      </c>
    </row>
    <row r="27" customFormat="false" ht="15" hidden="false" customHeight="false" outlineLevel="0" collapsed="false">
      <c r="A27" s="0" t="s">
        <v>181</v>
      </c>
      <c r="B27" s="16" t="n">
        <f aca="false">C13</f>
        <v>50</v>
      </c>
    </row>
  </sheetData>
  <mergeCells count="4">
    <mergeCell ref="A1:G1"/>
    <mergeCell ref="A2:G2"/>
    <mergeCell ref="A15:G15"/>
    <mergeCell ref="A16:G16"/>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5" min="2" style="0" width="12"/>
    <col collapsed="false" customWidth="true" hidden="false" outlineLevel="0" max="6" min="6" style="0" width="16"/>
    <col collapsed="false" customWidth="true" hidden="false" outlineLevel="0" max="7" min="7" style="0" width="20"/>
    <col collapsed="false" customWidth="true" hidden="false" outlineLevel="0" max="8" min="8" style="0" width="16"/>
    <col collapsed="false" customWidth="true" hidden="false" outlineLevel="0" max="9" min="9" style="0" width="20"/>
    <col collapsed="false" customWidth="true" hidden="false" outlineLevel="0" max="10" min="10" style="0" width="50"/>
  </cols>
  <sheetData>
    <row r="1" customFormat="false" ht="33.75" hidden="false" customHeight="true" outlineLevel="0" collapsed="false">
      <c r="A1" s="11" t="s">
        <v>192</v>
      </c>
      <c r="B1" s="11"/>
      <c r="C1" s="11"/>
      <c r="D1" s="11"/>
      <c r="E1" s="11"/>
      <c r="F1" s="11"/>
      <c r="G1" s="11"/>
      <c r="H1" s="11"/>
      <c r="I1" s="11"/>
      <c r="J1" s="11"/>
    </row>
    <row r="2" customFormat="false" ht="63.75" hidden="false" customHeight="true" outlineLevel="0" collapsed="false">
      <c r="A2" s="9" t="s">
        <v>193</v>
      </c>
      <c r="B2" s="9"/>
      <c r="C2" s="9"/>
      <c r="D2" s="9"/>
      <c r="E2" s="9"/>
      <c r="F2" s="9"/>
      <c r="G2" s="9"/>
      <c r="H2" s="9"/>
      <c r="I2" s="9"/>
      <c r="J2" s="9"/>
    </row>
    <row r="4" customFormat="false" ht="28.35" hidden="false" customHeight="false" outlineLevel="0" collapsed="false">
      <c r="A4" s="2" t="s">
        <v>78</v>
      </c>
      <c r="B4" s="2" t="s">
        <v>194</v>
      </c>
      <c r="C4" s="2" t="s">
        <v>195</v>
      </c>
      <c r="D4" s="2" t="s">
        <v>196</v>
      </c>
      <c r="E4" s="2" t="s">
        <v>197</v>
      </c>
      <c r="F4" s="2" t="s">
        <v>198</v>
      </c>
      <c r="G4" s="2" t="s">
        <v>199</v>
      </c>
      <c r="H4" s="2" t="s">
        <v>200</v>
      </c>
      <c r="I4" s="2" t="s">
        <v>201</v>
      </c>
      <c r="J4" s="2" t="s">
        <v>103</v>
      </c>
    </row>
    <row r="5" customFormat="false" ht="15" hidden="false" customHeight="false" outlineLevel="0" collapsed="false">
      <c r="A5" s="0" t="n">
        <v>2020</v>
      </c>
      <c r="B5" s="16" t="n">
        <v>22.281</v>
      </c>
      <c r="C5" s="16" t="n">
        <v>40.14</v>
      </c>
      <c r="D5" s="16" t="n">
        <v>15.767</v>
      </c>
      <c r="E5" s="16" t="n">
        <v>20.622</v>
      </c>
      <c r="F5" s="16" t="n">
        <f aca="false">SUM(B5:E5)</f>
        <v>98.81</v>
      </c>
      <c r="G5" s="16" t="n">
        <f aca="false">'Census DC Put in Place'!B166/1000</f>
        <v>9.231</v>
      </c>
      <c r="H5" s="17" t="n">
        <f aca="false">G5/F5</f>
        <v>0.0934217184495496</v>
      </c>
      <c r="I5" s="16" t="n">
        <f aca="false">F5-G5</f>
        <v>89.579</v>
      </c>
      <c r="J5" s="8" t="s">
        <v>202</v>
      </c>
    </row>
    <row r="6" customFormat="false" ht="15" hidden="false" customHeight="false" outlineLevel="0" collapsed="false">
      <c r="A6" s="0" t="n">
        <v>2021</v>
      </c>
      <c r="B6" s="16" t="n">
        <v>24.64</v>
      </c>
      <c r="C6" s="16" t="n">
        <v>61.053</v>
      </c>
      <c r="D6" s="16" t="n">
        <v>19.367</v>
      </c>
      <c r="E6" s="16" t="n">
        <v>23.886</v>
      </c>
      <c r="F6" s="16" t="n">
        <f aca="false">SUM(B6:E6)</f>
        <v>128.946</v>
      </c>
      <c r="G6" s="16" t="n">
        <f aca="false">'Census DC Put in Place'!B167/1000</f>
        <v>9.949</v>
      </c>
      <c r="H6" s="17" t="n">
        <f aca="false">G6/F6</f>
        <v>0.0771563290059405</v>
      </c>
      <c r="I6" s="16" t="n">
        <f aca="false">F6-G6</f>
        <v>118.997</v>
      </c>
      <c r="J6" s="8" t="s">
        <v>203</v>
      </c>
    </row>
    <row r="7" customFormat="false" ht="15" hidden="false" customHeight="false" outlineLevel="0" collapsed="false">
      <c r="A7" s="0" t="n">
        <v>2022</v>
      </c>
      <c r="B7" s="16" t="n">
        <v>31.485</v>
      </c>
      <c r="C7" s="16" t="n">
        <v>63.645</v>
      </c>
      <c r="D7" s="16" t="n">
        <v>32.281</v>
      </c>
      <c r="E7" s="16" t="n">
        <v>28.107</v>
      </c>
      <c r="F7" s="16" t="n">
        <f aca="false">SUM(B7:E7)</f>
        <v>155.518</v>
      </c>
      <c r="G7" s="16" t="n">
        <f aca="false">'Census DC Put in Place'!B168/1000</f>
        <v>12.583</v>
      </c>
      <c r="H7" s="17" t="n">
        <f aca="false">G7/F7</f>
        <v>0.0809102483313829</v>
      </c>
      <c r="I7" s="16" t="n">
        <f aca="false">F7-G7</f>
        <v>142.935</v>
      </c>
      <c r="J7" s="8" t="s">
        <v>204</v>
      </c>
    </row>
    <row r="8" customFormat="false" ht="15" hidden="false" customHeight="false" outlineLevel="0" collapsed="false">
      <c r="A8" s="0" t="n">
        <v>2023</v>
      </c>
      <c r="B8" s="16" t="n">
        <v>32.251</v>
      </c>
      <c r="C8" s="16" t="n">
        <v>52.729</v>
      </c>
      <c r="D8" s="16" t="n">
        <v>28.103</v>
      </c>
      <c r="E8" s="16" t="n">
        <v>44.477</v>
      </c>
      <c r="F8" s="16" t="n">
        <f aca="false">SUM(B8:E8)</f>
        <v>157.56</v>
      </c>
      <c r="G8" s="16" t="n">
        <f aca="false">'Census DC Put in Place'!B169/1000</f>
        <v>19.995</v>
      </c>
      <c r="H8" s="17" t="n">
        <f aca="false">G8/F8</f>
        <v>0.126904036557502</v>
      </c>
      <c r="I8" s="16" t="n">
        <f aca="false">F8-G8</f>
        <v>137.565</v>
      </c>
      <c r="J8" s="8" t="s">
        <v>205</v>
      </c>
    </row>
    <row r="9" customFormat="false" ht="15" hidden="false" customHeight="false" outlineLevel="0" collapsed="false">
      <c r="A9" s="0" t="n">
        <v>2024</v>
      </c>
      <c r="B9" s="16" t="n">
        <v>52.535</v>
      </c>
      <c r="C9" s="16" t="n">
        <v>82.999</v>
      </c>
      <c r="D9" s="16" t="n">
        <v>39.225</v>
      </c>
      <c r="E9" s="16" t="n">
        <v>64.551</v>
      </c>
      <c r="F9" s="16" t="n">
        <f aca="false">SUM(B9:E9)</f>
        <v>239.31</v>
      </c>
      <c r="G9" s="16" t="n">
        <f aca="false">'Census DC Put in Place'!B170/1000</f>
        <v>34.797</v>
      </c>
      <c r="H9" s="17" t="n">
        <f aca="false">G9/F9</f>
        <v>0.145405540930174</v>
      </c>
      <c r="I9" s="16" t="n">
        <f aca="false">F9-G9</f>
        <v>204.513</v>
      </c>
      <c r="J9" s="8" t="s">
        <v>206</v>
      </c>
    </row>
    <row r="10" customFormat="false" ht="15" hidden="false" customHeight="false" outlineLevel="0" collapsed="false">
      <c r="A10" s="0" t="n">
        <v>2025</v>
      </c>
      <c r="B10" s="16" t="n">
        <v>91.447</v>
      </c>
      <c r="C10" s="16" t="n">
        <v>131.819</v>
      </c>
      <c r="D10" s="16" t="n">
        <v>72.215</v>
      </c>
      <c r="E10" s="16" t="n">
        <v>115.948</v>
      </c>
      <c r="F10" s="16" t="n">
        <f aca="false">SUM(B10:E10)</f>
        <v>411.429</v>
      </c>
      <c r="G10" s="16" t="n">
        <f aca="false">'Census DC Put in Place'!B171/1000</f>
        <v>49.737</v>
      </c>
      <c r="H10" s="17" t="n">
        <f aca="false">G10/F10</f>
        <v>0.120888415741234</v>
      </c>
      <c r="I10" s="16" t="n">
        <f aca="false">F10-G10</f>
        <v>361.692</v>
      </c>
      <c r="J10" s="8" t="s">
        <v>207</v>
      </c>
    </row>
    <row r="11" customFormat="false" ht="15" hidden="false" customHeight="false" outlineLevel="0" collapsed="false">
      <c r="A11" s="0" t="n">
        <v>2026</v>
      </c>
      <c r="B11" s="16" t="n">
        <v>200</v>
      </c>
      <c r="C11" s="16" t="n">
        <v>220</v>
      </c>
      <c r="D11" s="16" t="n">
        <v>137.5</v>
      </c>
      <c r="E11" s="16" t="n">
        <v>175</v>
      </c>
      <c r="F11" s="16" t="n">
        <f aca="false">SUM(B11:E11)</f>
        <v>732.5</v>
      </c>
      <c r="G11" s="16" t="n">
        <f aca="false">'Census DC Put in Place'!D172/1000*12/7</f>
        <v>63.8091428571429</v>
      </c>
      <c r="H11" s="17" t="n">
        <f aca="false">G11/F11</f>
        <v>0.087111457825451</v>
      </c>
      <c r="I11" s="16" t="n">
        <f aca="false">F11-G11</f>
        <v>668.690857142857</v>
      </c>
      <c r="J11" s="8" t="s">
        <v>208</v>
      </c>
    </row>
    <row r="13" customFormat="false" ht="15" hidden="false" customHeight="false" outlineLevel="0" collapsed="false">
      <c r="A13" s="7" t="s">
        <v>209</v>
      </c>
    </row>
  </sheetData>
  <mergeCells count="2">
    <mergeCell ref="A1:J1"/>
    <mergeCell ref="A2:J2"/>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14"/>
    <col collapsed="false" customWidth="true" hidden="false" outlineLevel="0" max="3" min="3" style="0" width="40"/>
    <col collapsed="false" customWidth="true" hidden="false" outlineLevel="0" max="6" min="4" style="0" width="14"/>
    <col collapsed="false" customWidth="true" hidden="false" outlineLevel="0" max="7" min="7" style="0" width="10"/>
    <col collapsed="false" customWidth="true" hidden="false" outlineLevel="0" max="9" min="8" style="0" width="14"/>
    <col collapsed="false" customWidth="true" hidden="false" outlineLevel="0" max="10" min="10" style="0" width="16"/>
    <col collapsed="false" customWidth="true" hidden="false" outlineLevel="0" max="11" min="11" style="0" width="50"/>
  </cols>
  <sheetData>
    <row r="1" customFormat="false" ht="15" hidden="false" customHeight="false" outlineLevel="0" collapsed="false">
      <c r="A1" s="4" t="s">
        <v>210</v>
      </c>
    </row>
    <row r="3" customFormat="false" ht="28.35" hidden="false" customHeight="false" outlineLevel="0" collapsed="false">
      <c r="A3" s="2" t="s">
        <v>94</v>
      </c>
      <c r="B3" s="2" t="s">
        <v>211</v>
      </c>
      <c r="C3" s="2" t="s">
        <v>130</v>
      </c>
      <c r="D3" s="2" t="s">
        <v>212</v>
      </c>
      <c r="E3" s="2" t="s">
        <v>213</v>
      </c>
      <c r="F3" s="2" t="s">
        <v>214</v>
      </c>
      <c r="G3" s="2" t="s">
        <v>215</v>
      </c>
      <c r="H3" s="2" t="s">
        <v>216</v>
      </c>
      <c r="I3" s="2" t="s">
        <v>217</v>
      </c>
      <c r="J3" s="2" t="s">
        <v>218</v>
      </c>
      <c r="K3" s="2" t="s">
        <v>135</v>
      </c>
    </row>
    <row r="4" customFormat="false" ht="28.35" hidden="false" customHeight="false" outlineLevel="0" collapsed="false">
      <c r="A4" s="3" t="s">
        <v>105</v>
      </c>
      <c r="B4" s="3" t="s">
        <v>219</v>
      </c>
      <c r="C4" s="3" t="s">
        <v>220</v>
      </c>
      <c r="D4" s="3" t="n">
        <v>195337</v>
      </c>
      <c r="E4" s="3" t="n">
        <v>66481</v>
      </c>
      <c r="F4" s="3" t="n">
        <f aca="false">D4+E4</f>
        <v>261818</v>
      </c>
      <c r="G4" s="12" t="n">
        <f aca="false">D4/F4</f>
        <v>0.746079337555096</v>
      </c>
      <c r="H4" s="3" t="n">
        <v>138993</v>
      </c>
      <c r="I4" s="3" t="n">
        <v>184624</v>
      </c>
      <c r="J4" s="12" t="n">
        <f aca="false">(D4-H4)/(F4-I4)</f>
        <v>0.729901287664844</v>
      </c>
      <c r="K4" s="3" t="s">
        <v>221</v>
      </c>
    </row>
    <row r="5" customFormat="false" ht="28.35" hidden="false" customHeight="false" outlineLevel="0" collapsed="false">
      <c r="A5" s="3" t="s">
        <v>121</v>
      </c>
      <c r="B5" s="3" t="s">
        <v>222</v>
      </c>
      <c r="C5" s="3" t="s">
        <v>223</v>
      </c>
      <c r="D5" s="3" t="n">
        <v>300354</v>
      </c>
      <c r="E5" s="3" t="n">
        <v>175159</v>
      </c>
      <c r="F5" s="3" t="n">
        <f aca="false">D5+E5</f>
        <v>475513</v>
      </c>
      <c r="G5" s="12" t="n">
        <f aca="false">D5/F5</f>
        <v>0.63164203712622</v>
      </c>
      <c r="H5" s="3" t="n">
        <v>230069</v>
      </c>
      <c r="I5" s="3" t="n">
        <v>371902</v>
      </c>
      <c r="J5" s="12" t="n">
        <f aca="false">(D5-H5)/(F5-I5)</f>
        <v>0.678354614857496</v>
      </c>
      <c r="K5" s="3" t="s">
        <v>224</v>
      </c>
    </row>
    <row r="6" customFormat="false" ht="28.35" hidden="false" customHeight="false" outlineLevel="0" collapsed="false">
      <c r="A6" s="3" t="s">
        <v>116</v>
      </c>
      <c r="B6" s="3" t="s">
        <v>219</v>
      </c>
      <c r="C6" s="3" t="s">
        <v>225</v>
      </c>
      <c r="D6" s="3" t="n">
        <v>173390</v>
      </c>
      <c r="E6" s="3" t="n">
        <v>23414</v>
      </c>
      <c r="F6" s="3" t="n">
        <f aca="false">D6+E6</f>
        <v>196804</v>
      </c>
      <c r="G6" s="12" t="n">
        <f aca="false">D6/F6</f>
        <v>0.881028840877218</v>
      </c>
      <c r="H6" s="3" t="n">
        <v>117478</v>
      </c>
      <c r="I6" s="3" t="n">
        <v>136268</v>
      </c>
      <c r="J6" s="12" t="n">
        <f aca="false">(D6-H6)/(F6-I6)</f>
        <v>0.92361569974891</v>
      </c>
      <c r="K6" s="3" t="s">
        <v>226</v>
      </c>
    </row>
    <row r="7" customFormat="false" ht="28.35" hidden="false" customHeight="false" outlineLevel="0" collapsed="false">
      <c r="A7" s="3" t="s">
        <v>111</v>
      </c>
      <c r="B7" s="3" t="s">
        <v>219</v>
      </c>
      <c r="C7" s="3" t="s">
        <v>227</v>
      </c>
      <c r="D7" s="3"/>
      <c r="E7" s="3"/>
      <c r="F7" s="3"/>
      <c r="G7" s="12"/>
      <c r="H7" s="3"/>
      <c r="I7" s="3"/>
      <c r="J7" s="12"/>
      <c r="K7" s="3" t="s">
        <v>228</v>
      </c>
    </row>
    <row r="9" customFormat="false" ht="15" hidden="false" customHeight="false" outlineLevel="0" collapsed="false">
      <c r="A9" s="7" t="s">
        <v>229</v>
      </c>
    </row>
  </sheetData>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5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8"/>
    <col collapsed="false" customWidth="true" hidden="false" outlineLevel="0" max="3" min="3" style="0" width="18"/>
    <col collapsed="false" customWidth="true" hidden="false" outlineLevel="0" max="10" min="4" style="0" width="14"/>
    <col collapsed="false" customWidth="true" hidden="false" outlineLevel="0" max="11" min="11" style="0" width="18"/>
  </cols>
  <sheetData>
    <row r="1" customFormat="false" ht="15" hidden="false" customHeight="false" outlineLevel="0" collapsed="false">
      <c r="A1" s="4" t="s">
        <v>230</v>
      </c>
    </row>
    <row r="2" customFormat="false" ht="94.5" hidden="false" customHeight="true" outlineLevel="0" collapsed="false">
      <c r="A2" s="18" t="s">
        <v>231</v>
      </c>
      <c r="B2" s="18"/>
      <c r="C2" s="18"/>
      <c r="D2" s="18"/>
      <c r="E2" s="18"/>
      <c r="F2" s="18"/>
      <c r="G2" s="18"/>
      <c r="H2" s="18"/>
      <c r="I2" s="18"/>
      <c r="J2" s="18"/>
      <c r="K2" s="18"/>
    </row>
    <row r="3" customFormat="false" ht="28.35" hidden="false" customHeight="false" outlineLevel="0" collapsed="false">
      <c r="A3" s="2" t="s">
        <v>77</v>
      </c>
      <c r="B3" s="2" t="s">
        <v>78</v>
      </c>
      <c r="C3" s="2" t="s">
        <v>232</v>
      </c>
      <c r="D3" s="2" t="s">
        <v>233</v>
      </c>
      <c r="E3" s="2" t="s">
        <v>234</v>
      </c>
      <c r="F3" s="2" t="s">
        <v>235</v>
      </c>
      <c r="G3" s="2" t="s">
        <v>236</v>
      </c>
      <c r="H3" s="2" t="s">
        <v>237</v>
      </c>
      <c r="I3" s="2" t="s">
        <v>238</v>
      </c>
      <c r="J3" s="2" t="s">
        <v>239</v>
      </c>
      <c r="K3" s="2" t="s">
        <v>240</v>
      </c>
    </row>
    <row r="4" customFormat="false" ht="15" hidden="false" customHeight="false" outlineLevel="0" collapsed="false">
      <c r="A4" s="5" t="n">
        <v>44927</v>
      </c>
      <c r="B4" s="0" t="n">
        <v>2023</v>
      </c>
      <c r="C4" s="0" t="n">
        <v>7550.1</v>
      </c>
      <c r="D4" s="0" t="n">
        <v>806.2</v>
      </c>
      <c r="E4" s="0" t="n">
        <v>2316.5</v>
      </c>
      <c r="F4" s="0" t="n">
        <v>3165</v>
      </c>
      <c r="G4" s="0" t="n">
        <v>329</v>
      </c>
      <c r="H4" s="0" t="n">
        <v>471.8</v>
      </c>
      <c r="I4" s="0" t="n">
        <v>75.7</v>
      </c>
      <c r="J4" s="8" t="n">
        <f aca="false">C4-SUM(D4:I4)</f>
        <v>385.900000000001</v>
      </c>
      <c r="K4" s="17" t="n">
        <f aca="false">(D4+E4)/C4</f>
        <v>0.413597170898399</v>
      </c>
    </row>
    <row r="5" customFormat="false" ht="15" hidden="false" customHeight="false" outlineLevel="0" collapsed="false">
      <c r="A5" s="5" t="n">
        <v>44958</v>
      </c>
      <c r="B5" s="0" t="n">
        <v>2023</v>
      </c>
      <c r="C5" s="0" t="n">
        <v>6989.9</v>
      </c>
      <c r="D5" s="0" t="n">
        <v>878.9</v>
      </c>
      <c r="E5" s="0" t="n">
        <v>2017.8</v>
      </c>
      <c r="F5" s="0" t="n">
        <v>2649</v>
      </c>
      <c r="G5" s="0" t="n">
        <v>382.2</v>
      </c>
      <c r="H5" s="0" t="n">
        <v>609.5</v>
      </c>
      <c r="I5" s="0" t="n">
        <v>84.9</v>
      </c>
      <c r="J5" s="8" t="n">
        <f aca="false">C5-SUM(D5:I5)</f>
        <v>367.6</v>
      </c>
      <c r="K5" s="17" t="n">
        <f aca="false">(D5+E5)/C5</f>
        <v>0.414412223350835</v>
      </c>
    </row>
    <row r="6" customFormat="false" ht="15" hidden="false" customHeight="false" outlineLevel="0" collapsed="false">
      <c r="A6" s="5" t="n">
        <v>44986</v>
      </c>
      <c r="B6" s="0" t="n">
        <v>2023</v>
      </c>
      <c r="C6" s="0" t="n">
        <v>8415.3</v>
      </c>
      <c r="D6" s="0" t="n">
        <v>985.8</v>
      </c>
      <c r="E6" s="0" t="n">
        <v>2666.9</v>
      </c>
      <c r="F6" s="0" t="n">
        <v>3103.9</v>
      </c>
      <c r="G6" s="0" t="n">
        <v>629.4</v>
      </c>
      <c r="H6" s="0" t="n">
        <v>482.2</v>
      </c>
      <c r="I6" s="0" t="n">
        <v>91.9</v>
      </c>
      <c r="J6" s="8" t="n">
        <f aca="false">C6-SUM(D6:I6)</f>
        <v>455.2</v>
      </c>
      <c r="K6" s="17" t="n">
        <f aca="false">(D6+E6)/C6</f>
        <v>0.434054638574977</v>
      </c>
    </row>
    <row r="7" customFormat="false" ht="15" hidden="false" customHeight="false" outlineLevel="0" collapsed="false">
      <c r="A7" s="5" t="n">
        <v>45017</v>
      </c>
      <c r="B7" s="0" t="n">
        <v>2023</v>
      </c>
      <c r="C7" s="0" t="n">
        <v>7649.1</v>
      </c>
      <c r="D7" s="0" t="n">
        <v>729.2</v>
      </c>
      <c r="E7" s="0" t="n">
        <v>2030.7</v>
      </c>
      <c r="F7" s="0" t="n">
        <v>3268.5</v>
      </c>
      <c r="G7" s="0" t="n">
        <v>495.2</v>
      </c>
      <c r="H7" s="0" t="n">
        <v>636.9</v>
      </c>
      <c r="I7" s="0" t="n">
        <v>76</v>
      </c>
      <c r="J7" s="8" t="n">
        <f aca="false">C7-SUM(D7:I7)</f>
        <v>412.6</v>
      </c>
      <c r="K7" s="17" t="n">
        <f aca="false">(D7+E7)/C7</f>
        <v>0.360813690499536</v>
      </c>
    </row>
    <row r="8" customFormat="false" ht="15" hidden="false" customHeight="false" outlineLevel="0" collapsed="false">
      <c r="A8" s="5" t="n">
        <v>45047</v>
      </c>
      <c r="B8" s="0" t="n">
        <v>2023</v>
      </c>
      <c r="C8" s="0" t="n">
        <v>9379.5</v>
      </c>
      <c r="D8" s="0" t="n">
        <v>760.1</v>
      </c>
      <c r="E8" s="0" t="n">
        <v>2409</v>
      </c>
      <c r="F8" s="0" t="n">
        <v>4290.2</v>
      </c>
      <c r="G8" s="0" t="n">
        <v>730.3</v>
      </c>
      <c r="H8" s="0" t="n">
        <v>658.8</v>
      </c>
      <c r="I8" s="0" t="n">
        <v>91.5</v>
      </c>
      <c r="J8" s="8" t="n">
        <f aca="false">C8-SUM(D8:I8)</f>
        <v>439.6</v>
      </c>
      <c r="K8" s="17" t="n">
        <f aca="false">(D8+E8)/C8</f>
        <v>0.337875153259769</v>
      </c>
    </row>
    <row r="9" customFormat="false" ht="15" hidden="false" customHeight="false" outlineLevel="0" collapsed="false">
      <c r="A9" s="5" t="n">
        <v>45078</v>
      </c>
      <c r="B9" s="0" t="n">
        <v>2023</v>
      </c>
      <c r="C9" s="0" t="n">
        <v>8760.9</v>
      </c>
      <c r="D9" s="0" t="n">
        <v>763.4</v>
      </c>
      <c r="E9" s="0" t="n">
        <v>2438.2</v>
      </c>
      <c r="F9" s="0" t="n">
        <v>3742.7</v>
      </c>
      <c r="G9" s="0" t="n">
        <v>831</v>
      </c>
      <c r="H9" s="0" t="n">
        <v>452.5</v>
      </c>
      <c r="I9" s="0" t="n">
        <v>87</v>
      </c>
      <c r="J9" s="8" t="n">
        <f aca="false">C9-SUM(D9:I9)</f>
        <v>446.1</v>
      </c>
      <c r="K9" s="17" t="n">
        <f aca="false">(D9+E9)/C9</f>
        <v>0.365441906653426</v>
      </c>
    </row>
    <row r="10" customFormat="false" ht="15" hidden="false" customHeight="false" outlineLevel="0" collapsed="false">
      <c r="A10" s="5" t="n">
        <v>45108</v>
      </c>
      <c r="B10" s="0" t="n">
        <v>2023</v>
      </c>
      <c r="C10" s="0" t="n">
        <v>8548</v>
      </c>
      <c r="D10" s="0" t="n">
        <v>1357.2</v>
      </c>
      <c r="E10" s="0" t="n">
        <v>2060.4</v>
      </c>
      <c r="F10" s="0" t="n">
        <v>3432.1</v>
      </c>
      <c r="G10" s="0" t="n">
        <v>794.6</v>
      </c>
      <c r="H10" s="0" t="n">
        <v>359.5</v>
      </c>
      <c r="I10" s="0" t="n">
        <v>94.6</v>
      </c>
      <c r="J10" s="8" t="n">
        <f aca="false">C10-SUM(D10:I10)</f>
        <v>449.599999999999</v>
      </c>
      <c r="K10" s="17" t="n">
        <f aca="false">(D10+E10)/C10</f>
        <v>0.399812821712681</v>
      </c>
    </row>
    <row r="11" customFormat="false" ht="15" hidden="false" customHeight="false" outlineLevel="0" collapsed="false">
      <c r="A11" s="5" t="n">
        <v>45139</v>
      </c>
      <c r="B11" s="0" t="n">
        <v>2023</v>
      </c>
      <c r="C11" s="0" t="n">
        <v>8740.4</v>
      </c>
      <c r="D11" s="0" t="n">
        <v>1563.4</v>
      </c>
      <c r="E11" s="0" t="n">
        <v>2309.1</v>
      </c>
      <c r="F11" s="0" t="n">
        <v>3178</v>
      </c>
      <c r="G11" s="0" t="n">
        <v>874.7</v>
      </c>
      <c r="H11" s="0" t="n">
        <v>325.1</v>
      </c>
      <c r="I11" s="0" t="n">
        <v>87.6</v>
      </c>
      <c r="J11" s="8" t="n">
        <f aca="false">C11-SUM(D11:I11)</f>
        <v>402.5</v>
      </c>
      <c r="K11" s="17" t="n">
        <f aca="false">(D11+E11)/C11</f>
        <v>0.443057525971351</v>
      </c>
    </row>
    <row r="12" customFormat="false" ht="15" hidden="false" customHeight="false" outlineLevel="0" collapsed="false">
      <c r="A12" s="5" t="n">
        <v>45170</v>
      </c>
      <c r="B12" s="0" t="n">
        <v>2023</v>
      </c>
      <c r="C12" s="0" t="n">
        <v>8419.4</v>
      </c>
      <c r="D12" s="0" t="n">
        <v>1787.8</v>
      </c>
      <c r="E12" s="0" t="n">
        <v>1736.9</v>
      </c>
      <c r="F12" s="0" t="n">
        <v>3113.4</v>
      </c>
      <c r="G12" s="0" t="n">
        <v>920.4</v>
      </c>
      <c r="H12" s="0" t="n">
        <v>334.3</v>
      </c>
      <c r="I12" s="0" t="n">
        <v>71</v>
      </c>
      <c r="J12" s="8" t="n">
        <f aca="false">C12-SUM(D12:I12)</f>
        <v>455.599999999999</v>
      </c>
      <c r="K12" s="17" t="n">
        <f aca="false">(D12+E12)/C12</f>
        <v>0.418640283155569</v>
      </c>
    </row>
    <row r="13" customFormat="false" ht="15" hidden="false" customHeight="false" outlineLevel="0" collapsed="false">
      <c r="A13" s="5" t="n">
        <v>45200</v>
      </c>
      <c r="B13" s="0" t="n">
        <v>2023</v>
      </c>
      <c r="C13" s="0" t="n">
        <v>10709.3</v>
      </c>
      <c r="D13" s="0" t="n">
        <v>1889.3</v>
      </c>
      <c r="E13" s="0" t="n">
        <v>2865.3</v>
      </c>
      <c r="F13" s="0" t="n">
        <v>3540.4</v>
      </c>
      <c r="G13" s="0" t="n">
        <v>1153.7</v>
      </c>
      <c r="H13" s="0" t="n">
        <v>490.2</v>
      </c>
      <c r="I13" s="0" t="n">
        <v>93.6</v>
      </c>
      <c r="J13" s="8" t="n">
        <f aca="false">C13-SUM(D13:I13)</f>
        <v>676.799999999999</v>
      </c>
      <c r="K13" s="17" t="n">
        <f aca="false">(D13+E13)/C13</f>
        <v>0.443969260362489</v>
      </c>
    </row>
    <row r="14" customFormat="false" ht="15" hidden="false" customHeight="false" outlineLevel="0" collapsed="false">
      <c r="A14" s="5" t="n">
        <v>45231</v>
      </c>
      <c r="B14" s="0" t="n">
        <v>2023</v>
      </c>
      <c r="C14" s="0" t="n">
        <v>9843.9</v>
      </c>
      <c r="D14" s="0" t="n">
        <v>1579</v>
      </c>
      <c r="E14" s="0" t="n">
        <v>2498.3</v>
      </c>
      <c r="F14" s="0" t="n">
        <v>3191.5</v>
      </c>
      <c r="G14" s="0" t="n">
        <v>1257.9</v>
      </c>
      <c r="H14" s="0" t="n">
        <v>509.5</v>
      </c>
      <c r="I14" s="0" t="n">
        <v>90.6</v>
      </c>
      <c r="J14" s="8" t="n">
        <f aca="false">C14-SUM(D14:I14)</f>
        <v>717.099999999999</v>
      </c>
      <c r="K14" s="17" t="n">
        <f aca="false">(D14+E14)/C14</f>
        <v>0.414195593210008</v>
      </c>
    </row>
    <row r="15" customFormat="false" ht="15" hidden="false" customHeight="false" outlineLevel="0" collapsed="false">
      <c r="A15" s="5" t="n">
        <v>45261</v>
      </c>
      <c r="B15" s="0" t="n">
        <v>2023</v>
      </c>
      <c r="C15" s="0" t="n">
        <v>8209.5</v>
      </c>
      <c r="D15" s="0" t="n">
        <v>1207.2</v>
      </c>
      <c r="E15" s="0" t="n">
        <v>2400.5</v>
      </c>
      <c r="F15" s="0" t="n">
        <v>2455.7</v>
      </c>
      <c r="G15" s="0" t="n">
        <v>1006</v>
      </c>
      <c r="H15" s="0" t="n">
        <v>526.2</v>
      </c>
      <c r="I15" s="0" t="n">
        <v>91.5</v>
      </c>
      <c r="J15" s="8" t="n">
        <f aca="false">C15-SUM(D15:I15)</f>
        <v>522.4</v>
      </c>
      <c r="K15" s="17" t="n">
        <f aca="false">(D15+E15)/C15</f>
        <v>0.439454290760704</v>
      </c>
    </row>
    <row r="16" customFormat="false" ht="15" hidden="false" customHeight="false" outlineLevel="0" collapsed="false">
      <c r="A16" s="5" t="n">
        <v>45292</v>
      </c>
      <c r="B16" s="0" t="n">
        <v>2024</v>
      </c>
      <c r="C16" s="0" t="n">
        <v>8777.5</v>
      </c>
      <c r="D16" s="0" t="n">
        <v>1721.9</v>
      </c>
      <c r="E16" s="0" t="n">
        <v>2498.6</v>
      </c>
      <c r="F16" s="0" t="n">
        <v>2500.1</v>
      </c>
      <c r="G16" s="0" t="n">
        <v>964.9</v>
      </c>
      <c r="H16" s="0" t="n">
        <v>462.4</v>
      </c>
      <c r="I16" s="0" t="n">
        <v>99.7</v>
      </c>
      <c r="J16" s="8" t="n">
        <f aca="false">C16-SUM(D16:I16)</f>
        <v>529.9</v>
      </c>
      <c r="K16" s="17" t="n">
        <f aca="false">(D16+E16)/C16</f>
        <v>0.480831671888351</v>
      </c>
    </row>
    <row r="17" customFormat="false" ht="15" hidden="false" customHeight="false" outlineLevel="0" collapsed="false">
      <c r="A17" s="5" t="n">
        <v>45323</v>
      </c>
      <c r="B17" s="0" t="n">
        <v>2024</v>
      </c>
      <c r="C17" s="0" t="n">
        <v>8476.6</v>
      </c>
      <c r="D17" s="0" t="n">
        <v>1402.5</v>
      </c>
      <c r="E17" s="0" t="n">
        <v>2561.4</v>
      </c>
      <c r="F17" s="0" t="n">
        <v>2352.1</v>
      </c>
      <c r="G17" s="0" t="n">
        <v>1152.5</v>
      </c>
      <c r="H17" s="0" t="n">
        <v>514.8</v>
      </c>
      <c r="I17" s="0" t="n">
        <v>62.5</v>
      </c>
      <c r="J17" s="8" t="n">
        <f aca="false">C17-SUM(D17:I17)</f>
        <v>430.8</v>
      </c>
      <c r="K17" s="17" t="n">
        <f aca="false">(D17+E17)/C17</f>
        <v>0.467628530306963</v>
      </c>
    </row>
    <row r="18" customFormat="false" ht="15" hidden="false" customHeight="false" outlineLevel="0" collapsed="false">
      <c r="A18" s="5" t="n">
        <v>45352</v>
      </c>
      <c r="B18" s="0" t="n">
        <v>2024</v>
      </c>
      <c r="C18" s="0" t="n">
        <v>9639.8</v>
      </c>
      <c r="D18" s="0" t="n">
        <v>1951.2</v>
      </c>
      <c r="E18" s="0" t="n">
        <v>2798.3</v>
      </c>
      <c r="F18" s="0" t="n">
        <v>2737.6</v>
      </c>
      <c r="G18" s="0" t="n">
        <v>1162</v>
      </c>
      <c r="H18" s="0" t="n">
        <v>454.7</v>
      </c>
      <c r="I18" s="0" t="n">
        <v>70.6</v>
      </c>
      <c r="J18" s="8" t="n">
        <f aca="false">C18-SUM(D18:I18)</f>
        <v>465.4</v>
      </c>
      <c r="K18" s="17" t="n">
        <f aca="false">(D18+E18)/C18</f>
        <v>0.492696943919998</v>
      </c>
    </row>
    <row r="19" customFormat="false" ht="15" hidden="false" customHeight="false" outlineLevel="0" collapsed="false">
      <c r="A19" s="5" t="n">
        <v>45383</v>
      </c>
      <c r="B19" s="0" t="n">
        <v>2024</v>
      </c>
      <c r="C19" s="0" t="n">
        <v>10768</v>
      </c>
      <c r="D19" s="0" t="n">
        <v>2021.2</v>
      </c>
      <c r="E19" s="0" t="n">
        <v>3403</v>
      </c>
      <c r="F19" s="0" t="n">
        <v>2976.9</v>
      </c>
      <c r="G19" s="0" t="n">
        <v>1223.9</v>
      </c>
      <c r="H19" s="0" t="n">
        <v>546.4</v>
      </c>
      <c r="I19" s="0" t="n">
        <v>39.8</v>
      </c>
      <c r="J19" s="8" t="n">
        <f aca="false">C19-SUM(D19:I19)</f>
        <v>556.800000000001</v>
      </c>
      <c r="K19" s="17" t="n">
        <f aca="false">(D19+E19)/C19</f>
        <v>0.503733283803863</v>
      </c>
    </row>
    <row r="20" customFormat="false" ht="15" hidden="false" customHeight="false" outlineLevel="0" collapsed="false">
      <c r="A20" s="5" t="n">
        <v>45413</v>
      </c>
      <c r="B20" s="0" t="n">
        <v>2024</v>
      </c>
      <c r="C20" s="0" t="n">
        <v>11376.7</v>
      </c>
      <c r="D20" s="0" t="n">
        <v>1631.3</v>
      </c>
      <c r="E20" s="0" t="n">
        <v>3671.6</v>
      </c>
      <c r="F20" s="0" t="n">
        <v>3450.4</v>
      </c>
      <c r="G20" s="0" t="n">
        <v>1507.3</v>
      </c>
      <c r="H20" s="0" t="n">
        <v>486.9</v>
      </c>
      <c r="I20" s="0" t="n">
        <v>45.8</v>
      </c>
      <c r="J20" s="8" t="n">
        <f aca="false">C20-SUM(D20:I20)</f>
        <v>583.400000000002</v>
      </c>
      <c r="K20" s="17" t="n">
        <f aca="false">(D20+E20)/C20</f>
        <v>0.466119349196164</v>
      </c>
    </row>
    <row r="21" customFormat="false" ht="15" hidden="false" customHeight="false" outlineLevel="0" collapsed="false">
      <c r="A21" s="5" t="n">
        <v>45444</v>
      </c>
      <c r="B21" s="0" t="n">
        <v>2024</v>
      </c>
      <c r="C21" s="0" t="n">
        <v>12435.2</v>
      </c>
      <c r="D21" s="0" t="n">
        <v>2424.9</v>
      </c>
      <c r="E21" s="0" t="n">
        <v>4387.4</v>
      </c>
      <c r="F21" s="0" t="n">
        <v>3077.6</v>
      </c>
      <c r="G21" s="0" t="n">
        <v>1439.7</v>
      </c>
      <c r="H21" s="0" t="n">
        <v>544.3</v>
      </c>
      <c r="I21" s="0" t="n">
        <v>72.7</v>
      </c>
      <c r="J21" s="8" t="n">
        <f aca="false">C21-SUM(D21:I21)</f>
        <v>488.6</v>
      </c>
      <c r="K21" s="17" t="n">
        <f aca="false">(D21+E21)/C21</f>
        <v>0.547823919197118</v>
      </c>
    </row>
    <row r="22" customFormat="false" ht="15" hidden="false" customHeight="false" outlineLevel="0" collapsed="false">
      <c r="A22" s="5" t="n">
        <v>45474</v>
      </c>
      <c r="B22" s="0" t="n">
        <v>2024</v>
      </c>
      <c r="C22" s="0" t="n">
        <v>12949.7</v>
      </c>
      <c r="D22" s="0" t="n">
        <v>2526.5</v>
      </c>
      <c r="E22" s="0" t="n">
        <v>4038</v>
      </c>
      <c r="F22" s="0" t="n">
        <v>3738.8</v>
      </c>
      <c r="G22" s="0" t="n">
        <v>1534.4</v>
      </c>
      <c r="H22" s="0" t="n">
        <v>543.8</v>
      </c>
      <c r="I22" s="0" t="n">
        <v>53.6</v>
      </c>
      <c r="J22" s="8" t="n">
        <f aca="false">C22-SUM(D22:I22)</f>
        <v>514.6</v>
      </c>
      <c r="K22" s="17" t="n">
        <f aca="false">(D22+E22)/C22</f>
        <v>0.506922940299775</v>
      </c>
    </row>
    <row r="23" customFormat="false" ht="15" hidden="false" customHeight="false" outlineLevel="0" collapsed="false">
      <c r="A23" s="5" t="n">
        <v>45505</v>
      </c>
      <c r="B23" s="0" t="n">
        <v>2024</v>
      </c>
      <c r="C23" s="0" t="n">
        <v>13384.8</v>
      </c>
      <c r="D23" s="0" t="n">
        <v>3156.7</v>
      </c>
      <c r="E23" s="0" t="n">
        <v>4722.6</v>
      </c>
      <c r="F23" s="0" t="n">
        <v>2991.6</v>
      </c>
      <c r="G23" s="0" t="n">
        <v>1344.8</v>
      </c>
      <c r="H23" s="0" t="n">
        <v>605.4</v>
      </c>
      <c r="I23" s="0" t="n">
        <v>60.7</v>
      </c>
      <c r="J23" s="8" t="n">
        <f aca="false">C23-SUM(D23:I23)</f>
        <v>502.999999999998</v>
      </c>
      <c r="K23" s="17" t="n">
        <f aca="false">(D23+E23)/C23</f>
        <v>0.588675213675214</v>
      </c>
    </row>
    <row r="24" customFormat="false" ht="15" hidden="false" customHeight="false" outlineLevel="0" collapsed="false">
      <c r="A24" s="5" t="n">
        <v>45536</v>
      </c>
      <c r="B24" s="0" t="n">
        <v>2024</v>
      </c>
      <c r="C24" s="0" t="n">
        <v>14414.6</v>
      </c>
      <c r="D24" s="0" t="n">
        <v>2786.6</v>
      </c>
      <c r="E24" s="0" t="n">
        <v>5899.4</v>
      </c>
      <c r="F24" s="0" t="n">
        <v>3068.7</v>
      </c>
      <c r="G24" s="0" t="n">
        <v>1407.4</v>
      </c>
      <c r="H24" s="0" t="n">
        <v>615</v>
      </c>
      <c r="I24" s="0" t="n">
        <v>50.5</v>
      </c>
      <c r="J24" s="8" t="n">
        <f aca="false">C24-SUM(D24:I24)</f>
        <v>587.000000000002</v>
      </c>
      <c r="K24" s="17" t="n">
        <f aca="false">(D24+E24)/C24</f>
        <v>0.602583491737544</v>
      </c>
    </row>
    <row r="25" customFormat="false" ht="15" hidden="false" customHeight="false" outlineLevel="0" collapsed="false">
      <c r="A25" s="5" t="n">
        <v>45566</v>
      </c>
      <c r="B25" s="0" t="n">
        <v>2024</v>
      </c>
      <c r="C25" s="0" t="n">
        <v>13573.4</v>
      </c>
      <c r="D25" s="0" t="n">
        <v>2670.8</v>
      </c>
      <c r="E25" s="0" t="n">
        <v>4819.1</v>
      </c>
      <c r="F25" s="0" t="n">
        <v>3457.8</v>
      </c>
      <c r="G25" s="0" t="n">
        <v>1371.8</v>
      </c>
      <c r="H25" s="0" t="n">
        <v>680.5</v>
      </c>
      <c r="I25" s="0" t="n">
        <v>89.3</v>
      </c>
      <c r="J25" s="8" t="n">
        <f aca="false">C25-SUM(D25:I25)</f>
        <v>484.1</v>
      </c>
      <c r="K25" s="17" t="n">
        <f aca="false">(D25+E25)/C25</f>
        <v>0.55180721116301</v>
      </c>
    </row>
    <row r="26" customFormat="false" ht="15" hidden="false" customHeight="false" outlineLevel="0" collapsed="false">
      <c r="A26" s="5" t="n">
        <v>45597</v>
      </c>
      <c r="B26" s="0" t="n">
        <v>2024</v>
      </c>
      <c r="C26" s="0" t="n">
        <v>11926.3</v>
      </c>
      <c r="D26" s="0" t="n">
        <v>1615.8</v>
      </c>
      <c r="E26" s="0" t="n">
        <v>4465</v>
      </c>
      <c r="F26" s="0" t="n">
        <v>3189.7</v>
      </c>
      <c r="G26" s="0" t="n">
        <v>1393.6</v>
      </c>
      <c r="H26" s="0" t="n">
        <v>662.3</v>
      </c>
      <c r="I26" s="0" t="n">
        <v>61.2</v>
      </c>
      <c r="J26" s="8" t="n">
        <f aca="false">C26-SUM(D26:I26)</f>
        <v>538.699999999999</v>
      </c>
      <c r="K26" s="17" t="n">
        <f aca="false">(D26+E26)/C26</f>
        <v>0.509864752689434</v>
      </c>
    </row>
    <row r="27" customFormat="false" ht="15" hidden="false" customHeight="false" outlineLevel="0" collapsed="false">
      <c r="A27" s="5" t="n">
        <v>45627</v>
      </c>
      <c r="B27" s="0" t="n">
        <v>2024</v>
      </c>
      <c r="C27" s="0" t="n">
        <v>12522.3</v>
      </c>
      <c r="D27" s="0" t="n">
        <v>2174</v>
      </c>
      <c r="E27" s="0" t="n">
        <v>5066.2</v>
      </c>
      <c r="F27" s="0" t="n">
        <v>2613.8</v>
      </c>
      <c r="G27" s="0" t="n">
        <v>1295.2</v>
      </c>
      <c r="H27" s="0" t="n">
        <v>750.4</v>
      </c>
      <c r="I27" s="0" t="n">
        <v>71.3</v>
      </c>
      <c r="J27" s="8" t="n">
        <f aca="false">C27-SUM(D27:I27)</f>
        <v>551.4</v>
      </c>
      <c r="K27" s="17" t="n">
        <f aca="false">(D27+E27)/C27</f>
        <v>0.578184518818428</v>
      </c>
    </row>
    <row r="28" customFormat="false" ht="15" hidden="false" customHeight="false" outlineLevel="0" collapsed="false">
      <c r="A28" s="5" t="n">
        <v>45658</v>
      </c>
      <c r="B28" s="0" t="n">
        <v>2025</v>
      </c>
      <c r="C28" s="0" t="n">
        <v>13927.5</v>
      </c>
      <c r="D28" s="0" t="n">
        <v>2095.2</v>
      </c>
      <c r="E28" s="0" t="n">
        <v>5110.8</v>
      </c>
      <c r="F28" s="0" t="n">
        <v>3874.4</v>
      </c>
      <c r="G28" s="0" t="n">
        <v>1615.1</v>
      </c>
      <c r="H28" s="0" t="n">
        <v>689.7</v>
      </c>
      <c r="I28" s="0" t="n">
        <v>75.9</v>
      </c>
      <c r="J28" s="8" t="n">
        <f aca="false">C28-SUM(D28:I28)</f>
        <v>466.4</v>
      </c>
      <c r="K28" s="17" t="n">
        <f aca="false">(D28+E28)/C28</f>
        <v>0.517393645665051</v>
      </c>
    </row>
    <row r="29" customFormat="false" ht="15" hidden="false" customHeight="false" outlineLevel="0" collapsed="false">
      <c r="A29" s="5" t="n">
        <v>45689</v>
      </c>
      <c r="B29" s="0" t="n">
        <v>2025</v>
      </c>
      <c r="C29" s="0" t="n">
        <v>12297.1</v>
      </c>
      <c r="D29" s="0" t="n">
        <v>2410.7</v>
      </c>
      <c r="E29" s="0" t="n">
        <v>5460</v>
      </c>
      <c r="F29" s="0" t="n">
        <v>1810</v>
      </c>
      <c r="G29" s="0" t="n">
        <v>1464</v>
      </c>
      <c r="H29" s="0" t="n">
        <v>590.9</v>
      </c>
      <c r="I29" s="0" t="n">
        <v>59.6</v>
      </c>
      <c r="J29" s="8" t="n">
        <f aca="false">C29-SUM(D29:I29)</f>
        <v>501.9</v>
      </c>
      <c r="K29" s="17" t="n">
        <f aca="false">(D29+E29)/C29</f>
        <v>0.640045213912223</v>
      </c>
    </row>
    <row r="30" customFormat="false" ht="15" hidden="false" customHeight="false" outlineLevel="0" collapsed="false">
      <c r="A30" s="5" t="n">
        <v>45717</v>
      </c>
      <c r="B30" s="0" t="n">
        <v>2025</v>
      </c>
      <c r="C30" s="0" t="n">
        <v>16487.4</v>
      </c>
      <c r="D30" s="0" t="n">
        <v>3345.8</v>
      </c>
      <c r="E30" s="0" t="n">
        <v>7048.3</v>
      </c>
      <c r="F30" s="0" t="n">
        <v>1424.2</v>
      </c>
      <c r="G30" s="0" t="n">
        <v>2613.8</v>
      </c>
      <c r="H30" s="0" t="n">
        <v>993.8</v>
      </c>
      <c r="I30" s="0" t="n">
        <v>95.2</v>
      </c>
      <c r="J30" s="8" t="n">
        <f aca="false">C30-SUM(D30:I30)</f>
        <v>966.299999999999</v>
      </c>
      <c r="K30" s="17" t="n">
        <f aca="false">(D30+E30)/C30</f>
        <v>0.630426871429091</v>
      </c>
    </row>
    <row r="31" customFormat="false" ht="15" hidden="false" customHeight="false" outlineLevel="0" collapsed="false">
      <c r="A31" s="5" t="n">
        <v>45748</v>
      </c>
      <c r="B31" s="0" t="n">
        <v>2025</v>
      </c>
      <c r="C31" s="0" t="n">
        <v>17151.7</v>
      </c>
      <c r="D31" s="0" t="n">
        <v>5280.5</v>
      </c>
      <c r="E31" s="0" t="n">
        <v>6236.6</v>
      </c>
      <c r="F31" s="0" t="n">
        <v>805.4</v>
      </c>
      <c r="G31" s="0" t="n">
        <v>2889.8</v>
      </c>
      <c r="H31" s="0" t="n">
        <v>1064.4</v>
      </c>
      <c r="I31" s="0" t="n">
        <v>73.4</v>
      </c>
      <c r="J31" s="8" t="n">
        <f aca="false">C31-SUM(D31:I31)</f>
        <v>801.6</v>
      </c>
      <c r="K31" s="17" t="n">
        <f aca="false">(D31+E31)/C31</f>
        <v>0.671484459266428</v>
      </c>
    </row>
    <row r="32" customFormat="false" ht="15" hidden="false" customHeight="false" outlineLevel="0" collapsed="false">
      <c r="A32" s="5" t="n">
        <v>45778</v>
      </c>
      <c r="B32" s="0" t="n">
        <v>2025</v>
      </c>
      <c r="C32" s="0" t="n">
        <v>20111.6</v>
      </c>
      <c r="D32" s="0" t="n">
        <v>7106.9</v>
      </c>
      <c r="E32" s="0" t="n">
        <v>7225.3</v>
      </c>
      <c r="F32" s="0" t="n">
        <v>534.1</v>
      </c>
      <c r="G32" s="0" t="n">
        <v>3504.9</v>
      </c>
      <c r="H32" s="0" t="n">
        <v>1098.3</v>
      </c>
      <c r="I32" s="0" t="n">
        <v>58.9</v>
      </c>
      <c r="J32" s="8" t="n">
        <f aca="false">C32-SUM(D32:I32)</f>
        <v>583.199999999997</v>
      </c>
      <c r="K32" s="17" t="n">
        <f aca="false">(D32+E32)/C32</f>
        <v>0.712633505041867</v>
      </c>
    </row>
    <row r="33" customFormat="false" ht="15" hidden="false" customHeight="false" outlineLevel="0" collapsed="false">
      <c r="A33" s="5" t="n">
        <v>45809</v>
      </c>
      <c r="B33" s="0" t="n">
        <v>2025</v>
      </c>
      <c r="C33" s="0" t="n">
        <v>21484.7</v>
      </c>
      <c r="D33" s="0" t="n">
        <v>7558.5</v>
      </c>
      <c r="E33" s="0" t="n">
        <v>7193.3</v>
      </c>
      <c r="F33" s="0" t="n">
        <v>518</v>
      </c>
      <c r="G33" s="0" t="n">
        <v>3994.9</v>
      </c>
      <c r="H33" s="0" t="n">
        <v>1462.6</v>
      </c>
      <c r="I33" s="0" t="n">
        <v>84.7</v>
      </c>
      <c r="J33" s="8" t="n">
        <f aca="false">C33-SUM(D33:I33)</f>
        <v>672.700000000001</v>
      </c>
      <c r="K33" s="17" t="n">
        <f aca="false">(D33+E33)/C33</f>
        <v>0.686618849693037</v>
      </c>
    </row>
    <row r="34" customFormat="false" ht="15" hidden="false" customHeight="false" outlineLevel="0" collapsed="false">
      <c r="A34" s="5" t="n">
        <v>45839</v>
      </c>
      <c r="B34" s="0" t="n">
        <v>2025</v>
      </c>
      <c r="C34" s="0" t="n">
        <v>24362.3</v>
      </c>
      <c r="D34" s="0" t="n">
        <v>10256.6</v>
      </c>
      <c r="E34" s="0" t="n">
        <v>7615.4</v>
      </c>
      <c r="F34" s="0" t="n">
        <v>415.4</v>
      </c>
      <c r="G34" s="0" t="n">
        <v>3603.9</v>
      </c>
      <c r="H34" s="0" t="n">
        <v>1641.5</v>
      </c>
      <c r="I34" s="0" t="n">
        <v>112</v>
      </c>
      <c r="J34" s="8" t="n">
        <f aca="false">C34-SUM(D34:I34)</f>
        <v>717.5</v>
      </c>
      <c r="K34" s="17" t="n">
        <f aca="false">(D34+E34)/C34</f>
        <v>0.733592476900785</v>
      </c>
    </row>
    <row r="35" customFormat="false" ht="15" hidden="false" customHeight="false" outlineLevel="0" collapsed="false">
      <c r="A35" s="5" t="n">
        <v>45870</v>
      </c>
      <c r="B35" s="0" t="n">
        <v>2025</v>
      </c>
      <c r="C35" s="0" t="n">
        <v>23606.1</v>
      </c>
      <c r="D35" s="0" t="n">
        <v>9394.1</v>
      </c>
      <c r="E35" s="0" t="n">
        <v>8390.6</v>
      </c>
      <c r="F35" s="0" t="n">
        <v>336.3</v>
      </c>
      <c r="G35" s="0" t="n">
        <v>2855.3</v>
      </c>
      <c r="H35" s="0" t="n">
        <v>1702.3</v>
      </c>
      <c r="I35" s="0" t="n">
        <v>70.2</v>
      </c>
      <c r="J35" s="8" t="n">
        <f aca="false">C35-SUM(D35:I35)</f>
        <v>857.299999999996</v>
      </c>
      <c r="K35" s="17" t="n">
        <f aca="false">(D35+E35)/C35</f>
        <v>0.753394249791368</v>
      </c>
    </row>
    <row r="36" customFormat="false" ht="15" hidden="false" customHeight="false" outlineLevel="0" collapsed="false">
      <c r="A36" s="5" t="n">
        <v>45901</v>
      </c>
      <c r="B36" s="0" t="n">
        <v>2025</v>
      </c>
      <c r="C36" s="0" t="n">
        <v>20396</v>
      </c>
      <c r="D36" s="0" t="n">
        <v>5635.1</v>
      </c>
      <c r="E36" s="0" t="n">
        <v>8028.4</v>
      </c>
      <c r="F36" s="0" t="n">
        <v>279.6</v>
      </c>
      <c r="G36" s="0" t="n">
        <v>3048.7</v>
      </c>
      <c r="H36" s="0" t="n">
        <v>2248</v>
      </c>
      <c r="I36" s="0" t="n">
        <v>149.9</v>
      </c>
      <c r="J36" s="8" t="n">
        <f aca="false">C36-SUM(D36:I36)</f>
        <v>1006.3</v>
      </c>
      <c r="K36" s="17" t="n">
        <f aca="false">(D36+E36)/C36</f>
        <v>0.669910766817023</v>
      </c>
    </row>
    <row r="37" customFormat="false" ht="15" hidden="false" customHeight="false" outlineLevel="0" collapsed="false">
      <c r="A37" s="5" t="n">
        <v>45931</v>
      </c>
      <c r="B37" s="0" t="n">
        <v>2025</v>
      </c>
      <c r="C37" s="0" t="n">
        <v>25440.2</v>
      </c>
      <c r="D37" s="0" t="n">
        <v>9009.5</v>
      </c>
      <c r="E37" s="0" t="n">
        <v>9222.5</v>
      </c>
      <c r="F37" s="0" t="n">
        <v>293.2</v>
      </c>
      <c r="G37" s="0" t="n">
        <v>2900.8</v>
      </c>
      <c r="H37" s="0" t="n">
        <v>2997.4</v>
      </c>
      <c r="I37" s="0" t="n">
        <v>105.7</v>
      </c>
      <c r="J37" s="8" t="n">
        <f aca="false">C37-SUM(D37:I37)</f>
        <v>911.099999999999</v>
      </c>
      <c r="K37" s="17" t="n">
        <f aca="false">(D37+E37)/C37</f>
        <v>0.716661032539052</v>
      </c>
    </row>
    <row r="38" customFormat="false" ht="15" hidden="false" customHeight="false" outlineLevel="0" collapsed="false">
      <c r="A38" s="5" t="n">
        <v>45962</v>
      </c>
      <c r="B38" s="0" t="n">
        <v>2025</v>
      </c>
      <c r="C38" s="0" t="n">
        <v>27897.6</v>
      </c>
      <c r="D38" s="0" t="n">
        <v>10871.3</v>
      </c>
      <c r="E38" s="0" t="n">
        <v>10334.8</v>
      </c>
      <c r="F38" s="0" t="n">
        <v>264.9</v>
      </c>
      <c r="G38" s="0" t="n">
        <v>2582.6</v>
      </c>
      <c r="H38" s="0" t="n">
        <v>2982.1</v>
      </c>
      <c r="I38" s="0" t="n">
        <v>78.1</v>
      </c>
      <c r="J38" s="8" t="n">
        <f aca="false">C38-SUM(D38:I38)</f>
        <v>783.800000000003</v>
      </c>
      <c r="K38" s="17" t="n">
        <f aca="false">(D38+E38)/C38</f>
        <v>0.76014065726084</v>
      </c>
    </row>
    <row r="39" customFormat="false" ht="15" hidden="false" customHeight="false" outlineLevel="0" collapsed="false">
      <c r="A39" s="5" t="n">
        <v>45992</v>
      </c>
      <c r="B39" s="0" t="n">
        <v>2025</v>
      </c>
      <c r="C39" s="0" t="n">
        <v>27909.6</v>
      </c>
      <c r="D39" s="0" t="n">
        <v>12550.6</v>
      </c>
      <c r="E39" s="0" t="n">
        <v>8043</v>
      </c>
      <c r="F39" s="0" t="n">
        <v>273.7</v>
      </c>
      <c r="G39" s="0" t="n">
        <v>2693.5</v>
      </c>
      <c r="H39" s="0" t="n">
        <v>3342.2</v>
      </c>
      <c r="I39" s="0" t="n">
        <v>75.2</v>
      </c>
      <c r="J39" s="8" t="n">
        <f aca="false">C39-SUM(D39:I39)</f>
        <v>931.399999999998</v>
      </c>
      <c r="K39" s="17" t="n">
        <f aca="false">(D39+E39)/C39</f>
        <v>0.737867973743801</v>
      </c>
    </row>
    <row r="40" customFormat="false" ht="15" hidden="false" customHeight="false" outlineLevel="0" collapsed="false">
      <c r="A40" s="5" t="n">
        <v>46023</v>
      </c>
      <c r="B40" s="0" t="n">
        <v>2026</v>
      </c>
      <c r="C40" s="0" t="n">
        <v>27488.1</v>
      </c>
      <c r="D40" s="0" t="n">
        <v>11636.6</v>
      </c>
      <c r="E40" s="0" t="n">
        <v>9628.1</v>
      </c>
      <c r="F40" s="0" t="n">
        <v>240.6</v>
      </c>
      <c r="G40" s="0" t="n">
        <v>2668.2</v>
      </c>
      <c r="H40" s="0" t="n">
        <v>2349.9</v>
      </c>
      <c r="I40" s="0" t="n">
        <v>134.3</v>
      </c>
      <c r="J40" s="8" t="n">
        <f aca="false">C40-SUM(D40:I40)</f>
        <v>830.399999999998</v>
      </c>
      <c r="K40" s="17" t="n">
        <f aca="false">(D40+E40)/C40</f>
        <v>0.773596574517701</v>
      </c>
    </row>
    <row r="41" customFormat="false" ht="15" hidden="false" customHeight="false" outlineLevel="0" collapsed="false">
      <c r="A41" s="5" t="n">
        <v>46054</v>
      </c>
      <c r="B41" s="0" t="n">
        <v>2026</v>
      </c>
      <c r="C41" s="0" t="n">
        <v>28169.7</v>
      </c>
      <c r="D41" s="0" t="n">
        <v>12678.2</v>
      </c>
      <c r="E41" s="0" t="n">
        <v>8862.6</v>
      </c>
      <c r="F41" s="0" t="n">
        <v>248</v>
      </c>
      <c r="G41" s="0" t="n">
        <v>2312</v>
      </c>
      <c r="H41" s="0" t="n">
        <v>2876.6</v>
      </c>
      <c r="I41" s="0" t="n">
        <v>106.2</v>
      </c>
      <c r="J41" s="8" t="n">
        <f aca="false">C41-SUM(D41:I41)</f>
        <v>1086.1</v>
      </c>
      <c r="K41" s="17" t="n">
        <f aca="false">(D41+E41)/C41</f>
        <v>0.764679780047356</v>
      </c>
    </row>
    <row r="42" customFormat="false" ht="15" hidden="false" customHeight="false" outlineLevel="0" collapsed="false">
      <c r="A42" s="5" t="n">
        <v>46082</v>
      </c>
      <c r="B42" s="0" t="n">
        <v>2026</v>
      </c>
      <c r="C42" s="0" t="n">
        <v>32613.2</v>
      </c>
      <c r="D42" s="0" t="n">
        <v>13310</v>
      </c>
      <c r="E42" s="0" t="n">
        <v>9943.9</v>
      </c>
      <c r="F42" s="0" t="n">
        <v>284.3</v>
      </c>
      <c r="G42" s="0" t="n">
        <v>3683.1</v>
      </c>
      <c r="H42" s="0" t="n">
        <v>4076.8</v>
      </c>
      <c r="I42" s="0" t="n">
        <v>90.1</v>
      </c>
      <c r="J42" s="8" t="n">
        <f aca="false">C42-SUM(D42:I42)</f>
        <v>1225</v>
      </c>
      <c r="K42" s="17" t="n">
        <f aca="false">(D42+E42)/C42</f>
        <v>0.713021108017613</v>
      </c>
    </row>
    <row r="43" customFormat="false" ht="15" hidden="false" customHeight="false" outlineLevel="0" collapsed="false">
      <c r="A43" s="5" t="n">
        <v>46113</v>
      </c>
      <c r="B43" s="0" t="n">
        <v>2026</v>
      </c>
      <c r="C43" s="0" t="n">
        <v>35262.7</v>
      </c>
      <c r="D43" s="0" t="n">
        <v>12778</v>
      </c>
      <c r="E43" s="0" t="n">
        <v>11699.4</v>
      </c>
      <c r="F43" s="0" t="n">
        <v>517.4</v>
      </c>
      <c r="G43" s="0" t="n">
        <v>3588.1</v>
      </c>
      <c r="H43" s="0" t="n">
        <v>4949.8</v>
      </c>
      <c r="I43" s="0" t="n">
        <v>159.7</v>
      </c>
      <c r="J43" s="8" t="n">
        <f aca="false">C43-SUM(D43:I43)</f>
        <v>1570.3</v>
      </c>
      <c r="K43" s="17" t="n">
        <f aca="false">(D43+E43)/C43</f>
        <v>0.694144237395322</v>
      </c>
    </row>
    <row r="44" customFormat="false" ht="15" hidden="false" customHeight="false" outlineLevel="0" collapsed="false">
      <c r="A44" s="5" t="n">
        <v>46143</v>
      </c>
      <c r="B44" s="0" t="n">
        <v>2026</v>
      </c>
      <c r="C44" s="0" t="n">
        <v>35711.7</v>
      </c>
      <c r="D44" s="0" t="n">
        <v>12043.9</v>
      </c>
      <c r="E44" s="0" t="n">
        <v>13522.9</v>
      </c>
      <c r="F44" s="0" t="n">
        <v>682.1</v>
      </c>
      <c r="G44" s="0" t="n">
        <v>4129.9</v>
      </c>
      <c r="H44" s="0" t="n">
        <v>3618.3</v>
      </c>
      <c r="I44" s="0" t="n">
        <v>153.1</v>
      </c>
      <c r="J44" s="8" t="n">
        <f aca="false">C44-SUM(D44:I44)</f>
        <v>1561.5</v>
      </c>
      <c r="K44" s="17" t="n">
        <f aca="false">(D44+E44)/C44</f>
        <v>0.715922232769653</v>
      </c>
    </row>
    <row r="45" customFormat="false" ht="15" hidden="false" customHeight="false" outlineLevel="0" collapsed="false">
      <c r="A45" s="5" t="n">
        <v>46174</v>
      </c>
      <c r="B45" s="0" t="n">
        <v>2026</v>
      </c>
      <c r="C45" s="0" t="n">
        <v>35199.4</v>
      </c>
      <c r="D45" s="0" t="n">
        <v>9610.5</v>
      </c>
      <c r="E45" s="0" t="n">
        <v>14980.9</v>
      </c>
      <c r="F45" s="0" t="n">
        <v>853.2</v>
      </c>
      <c r="G45" s="0" t="n">
        <v>4365.8</v>
      </c>
      <c r="H45" s="0" t="n">
        <v>3264.3</v>
      </c>
      <c r="I45" s="0" t="n">
        <v>238.1</v>
      </c>
      <c r="J45" s="8" t="n">
        <f aca="false">C45-SUM(D45:I45)</f>
        <v>1886.60000000001</v>
      </c>
      <c r="K45" s="17" t="n">
        <f aca="false">(D45+E45)/C45</f>
        <v>0.698631226668636</v>
      </c>
    </row>
    <row r="48" customFormat="false" ht="15" hidden="false" customHeight="false" outlineLevel="0" collapsed="false">
      <c r="A48" s="4" t="s">
        <v>241</v>
      </c>
    </row>
    <row r="49" customFormat="false" ht="28.35" hidden="false" customHeight="false" outlineLevel="0" collapsed="false">
      <c r="A49" s="2" t="s">
        <v>78</v>
      </c>
      <c r="B49" s="2" t="s">
        <v>242</v>
      </c>
      <c r="C49" s="2" t="s">
        <v>233</v>
      </c>
      <c r="D49" s="2" t="s">
        <v>234</v>
      </c>
      <c r="E49" s="2" t="s">
        <v>235</v>
      </c>
      <c r="F49" s="2" t="s">
        <v>240</v>
      </c>
      <c r="G49" s="2" t="s">
        <v>243</v>
      </c>
      <c r="H49" s="2" t="s">
        <v>244</v>
      </c>
    </row>
    <row r="50" customFormat="false" ht="15" hidden="false" customHeight="false" outlineLevel="0" collapsed="false">
      <c r="A50" s="0" t="n">
        <v>2023</v>
      </c>
      <c r="B50" s="0" t="n">
        <f aca="false">SUMIFS($C$4:$C$45,$B$4:$B$45,2023)</f>
        <v>103215.3</v>
      </c>
      <c r="C50" s="0" t="n">
        <f aca="false">SUMIFS($D$4:$D$45,$B$4:$B$45,2023)</f>
        <v>14307.5</v>
      </c>
      <c r="D50" s="0" t="n">
        <f aca="false">SUMIFS($E$4:$E$45,$B$4:$B$45,2023)</f>
        <v>27749.6</v>
      </c>
      <c r="E50" s="0" t="n">
        <f aca="false">SUMIFS($F$4:$F$45,$B$4:$B$45,2023)</f>
        <v>39130.4</v>
      </c>
      <c r="F50" s="17" t="n">
        <f aca="false">(C50+D50)/B50</f>
        <v>0.407469629018178</v>
      </c>
      <c r="G50" s="8" t="n">
        <f aca="false">SUMIFS($C$4:$C$45,$B$4:$B$45,2023,$A$4:$A$45,"&lt;"&amp;DATE(2023,7,1))</f>
        <v>48744.8</v>
      </c>
    </row>
    <row r="51" customFormat="false" ht="15" hidden="false" customHeight="false" outlineLevel="0" collapsed="false">
      <c r="A51" s="0" t="n">
        <v>2024</v>
      </c>
      <c r="B51" s="0" t="n">
        <f aca="false">SUMIFS($C$4:$C$45,$B$4:$B$45,2024)</f>
        <v>140244.9</v>
      </c>
      <c r="C51" s="0" t="n">
        <f aca="false">SUMIFS($D$4:$D$45,$B$4:$B$45,2024)</f>
        <v>26083.4</v>
      </c>
      <c r="D51" s="0" t="n">
        <f aca="false">SUMIFS($E$4:$E$45,$B$4:$B$45,2024)</f>
        <v>48330.6</v>
      </c>
      <c r="E51" s="0" t="n">
        <f aca="false">SUMIFS($F$4:$F$45,$B$4:$B$45,2024)</f>
        <v>36155.1</v>
      </c>
      <c r="F51" s="17" t="n">
        <f aca="false">(C51+D51)/B51</f>
        <v>0.530600399729331</v>
      </c>
      <c r="G51" s="8" t="n">
        <f aca="false">SUMIFS($C$4:$C$45,$B$4:$B$45,2024,$A$4:$A$45,"&lt;"&amp;DATE(2024,7,1))</f>
        <v>61473.8</v>
      </c>
      <c r="H51" s="17" t="n">
        <f aca="false">G51/G50-1</f>
        <v>0.261135546766014</v>
      </c>
    </row>
    <row r="52" customFormat="false" ht="15" hidden="false" customHeight="false" outlineLevel="0" collapsed="false">
      <c r="A52" s="0" t="n">
        <v>2025</v>
      </c>
      <c r="B52" s="0" t="n">
        <f aca="false">SUMIFS($C$4:$C$45,$B$4:$B$45,2025)</f>
        <v>251071.8</v>
      </c>
      <c r="C52" s="0" t="n">
        <f aca="false">SUMIFS($D$4:$D$45,$B$4:$B$45,2025)</f>
        <v>85514.8</v>
      </c>
      <c r="D52" s="0" t="n">
        <f aca="false">SUMIFS($E$4:$E$45,$B$4:$B$45,2025)</f>
        <v>89909</v>
      </c>
      <c r="E52" s="0" t="n">
        <f aca="false">SUMIFS($F$4:$F$45,$B$4:$B$45,2025)</f>
        <v>10829.2</v>
      </c>
      <c r="F52" s="17" t="n">
        <f aca="false">(C52+D52)/B52</f>
        <v>0.698699734498259</v>
      </c>
      <c r="G52" s="8" t="n">
        <f aca="false">SUMIFS($C$4:$C$45,$B$4:$B$45,2025,$A$4:$A$45,"&lt;"&amp;DATE(2025,7,1))</f>
        <v>101460</v>
      </c>
      <c r="H52" s="17" t="n">
        <f aca="false">G52/G51-1</f>
        <v>0.650459220025442</v>
      </c>
    </row>
    <row r="53" customFormat="false" ht="15" hidden="false" customHeight="false" outlineLevel="0" collapsed="false">
      <c r="A53" s="0" t="n">
        <v>2026</v>
      </c>
      <c r="B53" s="0" t="n">
        <f aca="false">SUMIFS($C$4:$C$45,$B$4:$B$45,2026)</f>
        <v>194444.8</v>
      </c>
      <c r="C53" s="0" t="n">
        <f aca="false">SUMIFS($D$4:$D$45,$B$4:$B$45,2026)</f>
        <v>72057.2</v>
      </c>
      <c r="D53" s="0" t="n">
        <f aca="false">SUMIFS($E$4:$E$45,$B$4:$B$45,2026)</f>
        <v>68637.8</v>
      </c>
      <c r="E53" s="0" t="n">
        <f aca="false">SUMIFS($F$4:$F$45,$B$4:$B$45,2026)</f>
        <v>2825.6</v>
      </c>
      <c r="F53" s="17" t="n">
        <f aca="false">(C53+D53)/B53</f>
        <v>0.72357296260944</v>
      </c>
      <c r="G53" s="8" t="n">
        <f aca="false">SUMIFS($C$4:$C$45,$B$4:$B$45,2026,$A$4:$A$45,"&lt;"&amp;DATE(2026,7,1))</f>
        <v>194444.8</v>
      </c>
      <c r="H53" s="17" t="n">
        <f aca="false">G53/G52-1</f>
        <v>0.916467573427952</v>
      </c>
    </row>
    <row r="55" customFormat="false" ht="15" hidden="false" customHeight="false" outlineLevel="0" collapsed="false">
      <c r="A55" s="7" t="s">
        <v>245</v>
      </c>
    </row>
  </sheetData>
  <mergeCells count="1">
    <mergeCell ref="A2:K2"/>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6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16"/>
    <col collapsed="false" customWidth="true" hidden="false" outlineLevel="0" max="3" min="3" style="0" width="46"/>
    <col collapsed="false" customWidth="true" hidden="false" outlineLevel="0" max="4" min="4" style="0" width="16"/>
    <col collapsed="false" customWidth="true" hidden="false" outlineLevel="0" max="5" min="5" style="0" width="18"/>
    <col collapsed="false" customWidth="true" hidden="false" outlineLevel="0" max="6" min="6" style="0" width="44"/>
    <col collapsed="false" customWidth="true" hidden="false" outlineLevel="0" max="8" min="7" style="0" width="14"/>
    <col collapsed="false" customWidth="true" hidden="false" outlineLevel="0" max="9" min="9" style="0" width="12"/>
    <col collapsed="false" customWidth="true" hidden="false" outlineLevel="0" max="10" min="10" style="0" width="40"/>
  </cols>
  <sheetData>
    <row r="1" customFormat="false" ht="15" hidden="false" customHeight="false" outlineLevel="0" collapsed="false">
      <c r="A1" s="4" t="s">
        <v>246</v>
      </c>
    </row>
    <row r="3" customFormat="false" ht="41.75" hidden="false" customHeight="false" outlineLevel="0" collapsed="false">
      <c r="A3" s="2" t="s">
        <v>130</v>
      </c>
      <c r="B3" s="2" t="s">
        <v>247</v>
      </c>
      <c r="C3" s="2" t="s">
        <v>248</v>
      </c>
      <c r="D3" s="2" t="s">
        <v>249</v>
      </c>
      <c r="E3" s="2" t="s">
        <v>250</v>
      </c>
      <c r="F3" s="2" t="s">
        <v>251</v>
      </c>
    </row>
    <row r="4" customFormat="false" ht="33.75" hidden="false" customHeight="true" outlineLevel="0" collapsed="false">
      <c r="A4" s="3" t="s">
        <v>252</v>
      </c>
      <c r="B4" s="19" t="n">
        <v>37.2</v>
      </c>
      <c r="C4" s="3" t="s">
        <v>253</v>
      </c>
      <c r="D4" s="19" t="n">
        <f aca="false">B4*12/7</f>
        <v>63.7714285714286</v>
      </c>
      <c r="E4" s="20" t="n">
        <f aca="false">$D$4/D4</f>
        <v>1</v>
      </c>
      <c r="F4" s="3" t="s">
        <v>254</v>
      </c>
    </row>
    <row r="5" customFormat="false" ht="33.75" hidden="false" customHeight="true" outlineLevel="0" collapsed="false">
      <c r="A5" s="3" t="s">
        <v>255</v>
      </c>
      <c r="B5" s="19" t="n">
        <f aca="false">'Hyperscaler Capex'!G10</f>
        <v>732.5</v>
      </c>
      <c r="C5" s="3" t="s">
        <v>256</v>
      </c>
      <c r="D5" s="19" t="n">
        <f aca="false">B5</f>
        <v>732.5</v>
      </c>
      <c r="E5" s="20" t="n">
        <f aca="false">$D$4/D5</f>
        <v>0.0870599707459776</v>
      </c>
      <c r="F5" s="3" t="s">
        <v>257</v>
      </c>
    </row>
    <row r="6" customFormat="false" ht="33.75" hidden="false" customHeight="true" outlineLevel="0" collapsed="false">
      <c r="A6" s="3" t="s">
        <v>258</v>
      </c>
      <c r="B6" s="19" t="n">
        <v>1244.565</v>
      </c>
      <c r="C6" s="3" t="s">
        <v>259</v>
      </c>
      <c r="D6" s="19" t="n">
        <f aca="false">B6*12/7</f>
        <v>2133.54</v>
      </c>
      <c r="E6" s="20" t="n">
        <f aca="false">$D$4/D6</f>
        <v>0.0298899615528317</v>
      </c>
      <c r="F6" s="3" t="s">
        <v>260</v>
      </c>
    </row>
    <row r="7" customFormat="false" ht="33.75" hidden="false" customHeight="true" outlineLevel="0" collapsed="false">
      <c r="A7" s="3" t="s">
        <v>261</v>
      </c>
      <c r="B7" s="19" t="n">
        <v>7200</v>
      </c>
      <c r="C7" s="3" t="s">
        <v>262</v>
      </c>
      <c r="D7" s="19" t="n">
        <f aca="false">B7</f>
        <v>7200</v>
      </c>
      <c r="E7" s="20" t="n">
        <f aca="false">$D$4/D7</f>
        <v>0.00885714285714286</v>
      </c>
      <c r="F7" s="3" t="s">
        <v>263</v>
      </c>
    </row>
    <row r="8" customFormat="false" ht="33.75" hidden="false" customHeight="true" outlineLevel="0" collapsed="false">
      <c r="A8" s="3" t="s">
        <v>264</v>
      </c>
      <c r="B8" s="19" t="n">
        <v>31850</v>
      </c>
      <c r="C8" s="3" t="s">
        <v>265</v>
      </c>
      <c r="D8" s="19" t="n">
        <f aca="false">B8</f>
        <v>31850</v>
      </c>
      <c r="E8" s="20" t="n">
        <f aca="false">$D$4/D8</f>
        <v>0.00200224265530388</v>
      </c>
      <c r="F8" s="3" t="s">
        <v>266</v>
      </c>
    </row>
    <row r="9" customFormat="false" ht="33.75" hidden="false" customHeight="true" outlineLevel="0" collapsed="false">
      <c r="A9" s="3" t="s">
        <v>267</v>
      </c>
      <c r="B9" s="19" t="n">
        <v>166700</v>
      </c>
      <c r="C9" s="3" t="s">
        <v>268</v>
      </c>
      <c r="D9" s="19" t="n">
        <f aca="false">B9</f>
        <v>166700</v>
      </c>
      <c r="E9" s="20" t="n">
        <f aca="false">$D$4/D9</f>
        <v>0.000382552061016368</v>
      </c>
      <c r="F9" s="3" t="s">
        <v>266</v>
      </c>
    </row>
    <row r="31" customFormat="false" ht="15" hidden="false" customHeight="false" outlineLevel="0" collapsed="false">
      <c r="A31" s="4" t="s">
        <v>269</v>
      </c>
    </row>
    <row r="32" customFormat="false" ht="15" hidden="false" customHeight="false" outlineLevel="0" collapsed="false">
      <c r="A32" s="2" t="s">
        <v>130</v>
      </c>
      <c r="B32" s="2" t="s">
        <v>270</v>
      </c>
      <c r="C32" s="2" t="s">
        <v>271</v>
      </c>
      <c r="D32" s="2" t="s">
        <v>272</v>
      </c>
      <c r="E32" s="2" t="s">
        <v>103</v>
      </c>
      <c r="F32" s="2"/>
    </row>
    <row r="33" customFormat="false" ht="30" hidden="false" customHeight="true" outlineLevel="0" collapsed="false">
      <c r="A33" s="3" t="s">
        <v>273</v>
      </c>
      <c r="B33" s="19" t="n">
        <f aca="false">'Census DC Put in Place'!C154/1000</f>
        <v>75.166</v>
      </c>
      <c r="C33" s="19" t="n">
        <f aca="false">'Census DC Put in Place'!C142/1000</f>
        <v>47.81</v>
      </c>
      <c r="D33" s="21" t="n">
        <f aca="false">B33/C33-1</f>
        <v>0.572181551976574</v>
      </c>
      <c r="E33" s="3" t="s">
        <v>274</v>
      </c>
    </row>
    <row r="34" customFormat="false" ht="30" hidden="false" customHeight="true" outlineLevel="0" collapsed="false">
      <c r="A34" s="3" t="s">
        <v>275</v>
      </c>
      <c r="B34" s="19" t="n">
        <v>37.2</v>
      </c>
      <c r="C34" s="19" t="n">
        <v>27.6</v>
      </c>
      <c r="D34" s="21" t="n">
        <f aca="false">B34/C34-1</f>
        <v>0.347826086956522</v>
      </c>
      <c r="E34" s="3" t="s">
        <v>276</v>
      </c>
    </row>
    <row r="35" customFormat="false" ht="30" hidden="false" customHeight="true" outlineLevel="0" collapsed="false">
      <c r="A35" s="3" t="s">
        <v>277</v>
      </c>
      <c r="B35" s="19" t="n">
        <v>1244.565</v>
      </c>
      <c r="C35" s="19" t="n">
        <v>1289.715</v>
      </c>
      <c r="D35" s="21" t="n">
        <f aca="false">B35/C35-1</f>
        <v>-0.0350077342668728</v>
      </c>
      <c r="E35" s="3" t="s">
        <v>278</v>
      </c>
    </row>
    <row r="36" customFormat="false" ht="30" hidden="false" customHeight="true" outlineLevel="0" collapsed="false">
      <c r="A36" s="3" t="s">
        <v>279</v>
      </c>
      <c r="B36" s="19" t="n">
        <v>2157.581</v>
      </c>
      <c r="C36" s="19" t="n">
        <v>2242.633</v>
      </c>
      <c r="D36" s="21" t="n">
        <f aca="false">B36/C36-1</f>
        <v>-0.0379250639761386</v>
      </c>
      <c r="E36" s="3" t="s">
        <v>280</v>
      </c>
    </row>
    <row r="37" customFormat="false" ht="30" hidden="false" customHeight="true" outlineLevel="0" collapsed="false">
      <c r="A37" s="3" t="s">
        <v>281</v>
      </c>
      <c r="B37" s="19" t="n">
        <f aca="false">B36-B33</f>
        <v>2082.415</v>
      </c>
      <c r="C37" s="19" t="n">
        <f aca="false">C36-C33</f>
        <v>2194.823</v>
      </c>
      <c r="D37" s="21" t="n">
        <f aca="false">B37/C37-1</f>
        <v>-0.0512150638115237</v>
      </c>
      <c r="E37" s="3" t="s">
        <v>282</v>
      </c>
    </row>
    <row r="38" customFormat="false" ht="30" hidden="false" customHeight="true" outlineLevel="0" collapsed="false">
      <c r="A38" s="3" t="s">
        <v>283</v>
      </c>
      <c r="B38" s="19" t="n">
        <v>871.205</v>
      </c>
      <c r="C38" s="19" t="n">
        <v>939.959</v>
      </c>
      <c r="D38" s="21" t="n">
        <f aca="false">B38/C38-1</f>
        <v>-0.0731457435909437</v>
      </c>
      <c r="E38" s="3" t="s">
        <v>284</v>
      </c>
    </row>
    <row r="39" customFormat="false" ht="30" hidden="false" customHeight="true" outlineLevel="0" collapsed="false">
      <c r="A39" s="3" t="s">
        <v>285</v>
      </c>
      <c r="B39" s="19" t="n">
        <f aca="false">G58-B33</f>
        <v>64.898</v>
      </c>
      <c r="C39" s="19" t="n">
        <f aca="false">H58-C33</f>
        <v>72.044</v>
      </c>
      <c r="D39" s="21" t="n">
        <f aca="false">B39/C39-1</f>
        <v>-0.0991893842651713</v>
      </c>
      <c r="E39" s="3" t="s">
        <v>286</v>
      </c>
    </row>
    <row r="40" customFormat="false" ht="30" hidden="false" customHeight="true" outlineLevel="0" collapsed="false">
      <c r="A40" s="3" t="s">
        <v>287</v>
      </c>
      <c r="B40" s="21" t="n">
        <f aca="false">B33/B36</f>
        <v>0.0348380895085746</v>
      </c>
      <c r="C40" s="21" t="n">
        <f aca="false">C33/C36</f>
        <v>0.0213186910207778</v>
      </c>
      <c r="D40" s="3"/>
      <c r="E40" s="3" t="s">
        <v>288</v>
      </c>
    </row>
    <row r="42" customFormat="false" ht="60" hidden="false" customHeight="true" outlineLevel="0" collapsed="false">
      <c r="A42" s="9" t="s">
        <v>289</v>
      </c>
      <c r="B42" s="9"/>
      <c r="C42" s="9"/>
      <c r="D42" s="9"/>
      <c r="E42" s="9"/>
      <c r="F42" s="9"/>
    </row>
    <row r="44" customFormat="false" ht="15" hidden="false" customHeight="false" outlineLevel="0" collapsed="false">
      <c r="A44" s="4" t="s">
        <v>290</v>
      </c>
    </row>
    <row r="45" customFormat="false" ht="28.35" hidden="false" customHeight="false" outlineLevel="0" collapsed="false">
      <c r="A45" s="2" t="s">
        <v>291</v>
      </c>
      <c r="B45" s="2" t="s">
        <v>292</v>
      </c>
      <c r="C45" s="2" t="s">
        <v>293</v>
      </c>
      <c r="D45" s="2" t="s">
        <v>294</v>
      </c>
      <c r="E45" s="2" t="s">
        <v>295</v>
      </c>
      <c r="F45" s="2" t="s">
        <v>296</v>
      </c>
      <c r="G45" s="2" t="s">
        <v>297</v>
      </c>
      <c r="H45" s="2" t="s">
        <v>298</v>
      </c>
      <c r="I45" s="2" t="s">
        <v>299</v>
      </c>
      <c r="J45" s="2" t="s">
        <v>103</v>
      </c>
    </row>
    <row r="46" customFormat="false" ht="30" hidden="false" customHeight="true" outlineLevel="0" collapsed="false">
      <c r="A46" s="3" t="s">
        <v>300</v>
      </c>
      <c r="B46" s="19" t="n">
        <v>517.362</v>
      </c>
      <c r="C46" s="19" t="n">
        <v>539.362</v>
      </c>
      <c r="D46" s="21" t="n">
        <f aca="false">B46/C46-1</f>
        <v>-0.0407889321086765</v>
      </c>
      <c r="E46" s="19" t="n">
        <f aca="false">B46*12/7</f>
        <v>886.906285714286</v>
      </c>
      <c r="F46" s="21" t="n">
        <f aca="false">E46/$E$57</f>
        <v>0.415697050776777</v>
      </c>
      <c r="G46" s="19" t="n">
        <v>871.205</v>
      </c>
      <c r="H46" s="19" t="n">
        <v>939.959</v>
      </c>
      <c r="I46" s="21" t="n">
        <f aca="false">G46/H46-1</f>
        <v>-0.0731457435909437</v>
      </c>
      <c r="J46" s="3" t="s">
        <v>301</v>
      </c>
    </row>
    <row r="47" customFormat="false" ht="30" hidden="false" customHeight="true" outlineLevel="0" collapsed="false">
      <c r="A47" s="3" t="s">
        <v>302</v>
      </c>
      <c r="B47" s="19" t="n">
        <v>37.2</v>
      </c>
      <c r="C47" s="19" t="n">
        <v>27.6</v>
      </c>
      <c r="D47" s="21" t="n">
        <f aca="false">B47/C47-1</f>
        <v>0.347826086956522</v>
      </c>
      <c r="E47" s="19" t="n">
        <f aca="false">B47*12/7</f>
        <v>63.7714285714286</v>
      </c>
      <c r="F47" s="21" t="n">
        <f aca="false">E47/$E$57</f>
        <v>0.0298899615528317</v>
      </c>
      <c r="G47" s="19" t="n">
        <f aca="false">'Census DC Put in Place'!C154/1000</f>
        <v>75.166</v>
      </c>
      <c r="H47" s="19" t="n">
        <f aca="false">'Census DC Put in Place'!C142/1000</f>
        <v>47.81</v>
      </c>
      <c r="I47" s="21" t="n">
        <f aca="false">G47/H47-1</f>
        <v>0.572181551976574</v>
      </c>
      <c r="J47" s="3" t="s">
        <v>303</v>
      </c>
    </row>
    <row r="48" customFormat="false" ht="30" hidden="false" customHeight="true" outlineLevel="0" collapsed="false">
      <c r="A48" s="3" t="s">
        <v>304</v>
      </c>
      <c r="B48" s="19" t="n">
        <f aca="false">B58-B47</f>
        <v>37.664</v>
      </c>
      <c r="C48" s="19" t="n">
        <f aca="false">C58-C47</f>
        <v>41.602</v>
      </c>
      <c r="D48" s="21" t="n">
        <f aca="false">B48/C48-1</f>
        <v>-0.0946589106292965</v>
      </c>
      <c r="E48" s="19" t="n">
        <f aca="false">B48*12/7</f>
        <v>64.5668571428572</v>
      </c>
      <c r="F48" s="21" t="n">
        <f aca="false">E48/$E$57</f>
        <v>0.030262782578652</v>
      </c>
      <c r="G48" s="19" t="n">
        <f aca="false">G58-G47</f>
        <v>64.898</v>
      </c>
      <c r="H48" s="19" t="n">
        <f aca="false">H58-H47</f>
        <v>72.044</v>
      </c>
      <c r="I48" s="21" t="n">
        <f aca="false">G48/H48-1</f>
        <v>-0.0991893842651713</v>
      </c>
      <c r="J48" s="3" t="s">
        <v>305</v>
      </c>
    </row>
    <row r="49" customFormat="false" ht="30" hidden="false" customHeight="true" outlineLevel="0" collapsed="false">
      <c r="A49" s="3" t="s">
        <v>306</v>
      </c>
      <c r="B49" s="19" t="n">
        <v>103.015</v>
      </c>
      <c r="C49" s="19" t="n">
        <v>99.394</v>
      </c>
      <c r="D49" s="21" t="n">
        <f aca="false">B49/C49-1</f>
        <v>0.0364307704690423</v>
      </c>
      <c r="E49" s="19" t="n">
        <f aca="false">B49*12/7</f>
        <v>176.597142857143</v>
      </c>
      <c r="F49" s="21" t="n">
        <f aca="false">E49/$E$57</f>
        <v>0.0827718921872301</v>
      </c>
      <c r="G49" s="19" t="n">
        <v>181.532</v>
      </c>
      <c r="H49" s="19" t="n">
        <v>172.391</v>
      </c>
      <c r="I49" s="21" t="n">
        <f aca="false">G49/H49-1</f>
        <v>0.0530248098798662</v>
      </c>
      <c r="J49" s="3" t="s">
        <v>307</v>
      </c>
    </row>
    <row r="50" customFormat="false" ht="30" hidden="false" customHeight="true" outlineLevel="0" collapsed="false">
      <c r="A50" s="3" t="s">
        <v>308</v>
      </c>
      <c r="B50" s="19" t="n">
        <v>101.148</v>
      </c>
      <c r="C50" s="19" t="n">
        <v>129.993</v>
      </c>
      <c r="D50" s="21" t="n">
        <f aca="false">B50/C50-1</f>
        <v>-0.22189656366112</v>
      </c>
      <c r="E50" s="19" t="n">
        <f aca="false">B50*12/7</f>
        <v>173.396571428571</v>
      </c>
      <c r="F50" s="21" t="n">
        <f aca="false">E50/$E$57</f>
        <v>0.0812717696544576</v>
      </c>
      <c r="G50" s="19" t="n">
        <v>169.795</v>
      </c>
      <c r="H50" s="19" t="n">
        <v>215.594</v>
      </c>
      <c r="I50" s="21" t="n">
        <f aca="false">G50/H50-1</f>
        <v>-0.212431700325612</v>
      </c>
      <c r="J50" s="3" t="s">
        <v>309</v>
      </c>
    </row>
    <row r="51" customFormat="false" ht="30" hidden="false" customHeight="true" outlineLevel="0" collapsed="false">
      <c r="A51" s="3" t="s">
        <v>310</v>
      </c>
      <c r="B51" s="19" t="n">
        <v>81.374</v>
      </c>
      <c r="C51" s="19" t="n">
        <v>79.438</v>
      </c>
      <c r="D51" s="21" t="n">
        <f aca="false">B51/C51-1</f>
        <v>0.0243712077343337</v>
      </c>
      <c r="E51" s="19" t="n">
        <f aca="false">B51*12/7</f>
        <v>139.498285714286</v>
      </c>
      <c r="F51" s="21" t="n">
        <f aca="false">E51/$E$57</f>
        <v>0.0653834874032293</v>
      </c>
      <c r="G51" s="19" t="n">
        <v>151.508</v>
      </c>
      <c r="H51" s="19" t="n">
        <v>145.02</v>
      </c>
      <c r="I51" s="21" t="n">
        <f aca="false">G51/H51-1</f>
        <v>0.0447386567370018</v>
      </c>
      <c r="J51" s="3" t="s">
        <v>311</v>
      </c>
    </row>
    <row r="52" customFormat="false" ht="30" hidden="false" customHeight="true" outlineLevel="0" collapsed="false">
      <c r="A52" s="3" t="s">
        <v>312</v>
      </c>
      <c r="B52" s="19" t="n">
        <v>79.77</v>
      </c>
      <c r="C52" s="19" t="n">
        <v>82.187</v>
      </c>
      <c r="D52" s="21" t="n">
        <f aca="false">B52/C52-1</f>
        <v>-0.0294085439303053</v>
      </c>
      <c r="E52" s="19" t="n">
        <f aca="false">B52*12/7</f>
        <v>136.748571428571</v>
      </c>
      <c r="F52" s="21" t="n">
        <f aca="false">E52/$E$57</f>
        <v>0.0640946836846609</v>
      </c>
      <c r="G52" s="19" t="n">
        <v>136.649</v>
      </c>
      <c r="H52" s="19" t="n">
        <v>137.487</v>
      </c>
      <c r="I52" s="21" t="n">
        <f aca="false">G52/H52-1</f>
        <v>-0.00609512172059901</v>
      </c>
      <c r="J52" s="3"/>
    </row>
    <row r="53" customFormat="false" ht="30" hidden="false" customHeight="true" outlineLevel="0" collapsed="false">
      <c r="A53" s="3" t="s">
        <v>313</v>
      </c>
      <c r="B53" s="19" t="n">
        <v>70.706</v>
      </c>
      <c r="C53" s="19" t="n">
        <v>75.158</v>
      </c>
      <c r="D53" s="21" t="n">
        <f aca="false">B53/C53-1</f>
        <v>-0.0592352111551664</v>
      </c>
      <c r="E53" s="19" t="n">
        <f aca="false">B53*12/7</f>
        <v>121.210285714286</v>
      </c>
      <c r="F53" s="21" t="n">
        <f aca="false">E53/$E$57</f>
        <v>0.0568118177837236</v>
      </c>
      <c r="G53" s="19" t="n">
        <v>122.51</v>
      </c>
      <c r="H53" s="19" t="n">
        <v>128.817</v>
      </c>
      <c r="I53" s="21" t="n">
        <f aca="false">G53/H53-1</f>
        <v>-0.0489609290699209</v>
      </c>
      <c r="J53" s="3" t="s">
        <v>314</v>
      </c>
    </row>
    <row r="54" customFormat="false" ht="30" hidden="false" customHeight="true" outlineLevel="0" collapsed="false">
      <c r="A54" s="3" t="s">
        <v>315</v>
      </c>
      <c r="B54" s="19" t="n">
        <v>43.01</v>
      </c>
      <c r="C54" s="19" t="n">
        <v>44.227</v>
      </c>
      <c r="D54" s="21" t="n">
        <f aca="false">B54/C54-1</f>
        <v>-0.0275171275465214</v>
      </c>
      <c r="E54" s="19" t="n">
        <f aca="false">B54*12/7</f>
        <v>73.7314285714286</v>
      </c>
      <c r="F54" s="21" t="n">
        <f aca="false">E54/$E$57</f>
        <v>0.0345582593114863</v>
      </c>
      <c r="G54" s="19" t="n">
        <v>74.599</v>
      </c>
      <c r="H54" s="19" t="n">
        <v>76.42</v>
      </c>
      <c r="I54" s="21" t="n">
        <f aca="false">G54/H54-1</f>
        <v>-0.0238288406176393</v>
      </c>
      <c r="J54" s="3"/>
    </row>
    <row r="55" customFormat="false" ht="30" hidden="false" customHeight="true" outlineLevel="0" collapsed="false">
      <c r="A55" s="3" t="s">
        <v>316</v>
      </c>
      <c r="B55" s="19" t="n">
        <v>40.281</v>
      </c>
      <c r="C55" s="19" t="n">
        <v>39.736</v>
      </c>
      <c r="D55" s="21" t="n">
        <f aca="false">B55/C55-1</f>
        <v>0.013715522448158</v>
      </c>
      <c r="E55" s="19" t="n">
        <f aca="false">B55*12/7</f>
        <v>69.0531428571428</v>
      </c>
      <c r="F55" s="21" t="n">
        <f aca="false">E55/$E$57</f>
        <v>0.0323655253040219</v>
      </c>
      <c r="G55" s="19" t="n">
        <v>72.29</v>
      </c>
      <c r="H55" s="19" t="n">
        <v>70.939</v>
      </c>
      <c r="I55" s="21" t="n">
        <f aca="false">G55/H55-1</f>
        <v>0.0190445312169611</v>
      </c>
      <c r="J55" s="3"/>
    </row>
    <row r="56" customFormat="false" ht="30" hidden="false" customHeight="true" outlineLevel="0" collapsed="false">
      <c r="A56" s="3" t="s">
        <v>317</v>
      </c>
      <c r="B56" s="19" t="n">
        <f aca="false">B57-SUM(B46:B55)</f>
        <v>133.035</v>
      </c>
      <c r="C56" s="19" t="n">
        <f aca="false">C57-SUM(C46:C55)</f>
        <v>131.018</v>
      </c>
      <c r="D56" s="21" t="n">
        <f aca="false">B56/C56-1</f>
        <v>0.015394831244564</v>
      </c>
      <c r="E56" s="19" t="n">
        <f aca="false">B56*12/7</f>
        <v>228.06</v>
      </c>
      <c r="F56" s="21" t="n">
        <f aca="false">E56/$E$57</f>
        <v>0.106892769762929</v>
      </c>
      <c r="G56" s="19" t="n">
        <f aca="false">G57-SUM(G46:G55)</f>
        <v>237.429</v>
      </c>
      <c r="H56" s="19" t="n">
        <f aca="false">H57-SUM(H46:H55)</f>
        <v>236.152</v>
      </c>
      <c r="I56" s="21" t="n">
        <f aca="false">G56/H56-1</f>
        <v>0.00540753413056017</v>
      </c>
      <c r="J56" s="3" t="s">
        <v>318</v>
      </c>
    </row>
    <row r="57" customFormat="false" ht="30" hidden="false" customHeight="true" outlineLevel="0" collapsed="false">
      <c r="A57" s="13" t="s">
        <v>319</v>
      </c>
      <c r="B57" s="22" t="n">
        <v>1244.565</v>
      </c>
      <c r="C57" s="22" t="n">
        <v>1289.715</v>
      </c>
      <c r="D57" s="23" t="n">
        <f aca="false">B57/C57-1</f>
        <v>-0.0350077342668728</v>
      </c>
      <c r="E57" s="22" t="n">
        <f aca="false">B57*12/7</f>
        <v>2133.54</v>
      </c>
      <c r="F57" s="23" t="n">
        <f aca="false">E57/$E$57</f>
        <v>1</v>
      </c>
      <c r="G57" s="22" t="n">
        <v>2157.581</v>
      </c>
      <c r="H57" s="22" t="n">
        <v>2242.633</v>
      </c>
      <c r="I57" s="23" t="n">
        <f aca="false">G57/H57-1</f>
        <v>-0.0379250639761386</v>
      </c>
      <c r="J57" s="3" t="s">
        <v>320</v>
      </c>
    </row>
    <row r="58" customFormat="false" ht="30" hidden="false" customHeight="true" outlineLevel="0" collapsed="false">
      <c r="A58" s="3" t="s">
        <v>321</v>
      </c>
      <c r="B58" s="19" t="n">
        <v>74.864</v>
      </c>
      <c r="C58" s="19" t="n">
        <v>69.202</v>
      </c>
      <c r="D58" s="21" t="n">
        <f aca="false">B58/C58-1</f>
        <v>0.0818184445536256</v>
      </c>
      <c r="E58" s="19" t="n">
        <f aca="false">B58*12/7</f>
        <v>128.338285714286</v>
      </c>
      <c r="F58" s="21" t="n">
        <f aca="false">E58/$E$57</f>
        <v>0.0601527441314837</v>
      </c>
      <c r="G58" s="19" t="n">
        <v>140.064</v>
      </c>
      <c r="H58" s="19" t="n">
        <v>119.854</v>
      </c>
      <c r="I58" s="21" t="n">
        <f aca="false">G58/H58-1</f>
        <v>0.168621823218249</v>
      </c>
      <c r="J58" s="3" t="s">
        <v>322</v>
      </c>
    </row>
    <row r="60" customFormat="false" ht="15" hidden="false" customHeight="false" outlineLevel="0" collapsed="false">
      <c r="A60" s="4" t="s">
        <v>323</v>
      </c>
    </row>
    <row r="61" customFormat="false" ht="15" hidden="false" customHeight="false" outlineLevel="0" collapsed="false">
      <c r="A61" s="2" t="s">
        <v>130</v>
      </c>
      <c r="B61" s="2" t="s">
        <v>324</v>
      </c>
      <c r="C61" s="2"/>
      <c r="D61" s="2"/>
      <c r="E61" s="2"/>
      <c r="F61" s="2"/>
    </row>
    <row r="62" customFormat="false" ht="15" hidden="false" customHeight="false" outlineLevel="0" collapsed="false">
      <c r="A62" s="0" t="s">
        <v>325</v>
      </c>
      <c r="B62" s="24" t="n">
        <f aca="false">D4/1000</f>
        <v>0.0637714285714286</v>
      </c>
    </row>
    <row r="63" customFormat="false" ht="15" hidden="false" customHeight="false" outlineLevel="0" collapsed="false">
      <c r="A63" s="0" t="s">
        <v>326</v>
      </c>
      <c r="B63" s="24" t="n">
        <f aca="false">D5/1000</f>
        <v>0.7325</v>
      </c>
    </row>
    <row r="64" customFormat="false" ht="15" hidden="false" customHeight="false" outlineLevel="0" collapsed="false">
      <c r="A64" s="0" t="s">
        <v>327</v>
      </c>
      <c r="B64" s="24" t="n">
        <f aca="false">D6/1000</f>
        <v>2.13354</v>
      </c>
    </row>
    <row r="65" customFormat="false" ht="15" hidden="false" customHeight="false" outlineLevel="0" collapsed="false">
      <c r="A65" s="0" t="s">
        <v>261</v>
      </c>
      <c r="B65" s="24" t="n">
        <f aca="false">D7/1000</f>
        <v>7.2</v>
      </c>
    </row>
    <row r="66" customFormat="false" ht="15" hidden="false" customHeight="false" outlineLevel="0" collapsed="false">
      <c r="A66" s="0" t="s">
        <v>328</v>
      </c>
      <c r="B66" s="24" t="n">
        <f aca="false">D8/1000</f>
        <v>31.85</v>
      </c>
    </row>
  </sheetData>
  <mergeCells count="1">
    <mergeCell ref="A42:F42"/>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2026-09-06T10:06:14Z</dcterms:created>
  <dc:creator>openpyxl</dc:creator>
  <dc:description/>
  <dc:language>en-US</dc:language>
  <cp:lastModifiedBy/>
  <dcterms:modified xsi:type="dcterms:W3CDTF">2026-09-06T10:06:19Z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